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trlProps/ctrlProp1.xml" ContentType="application/vnd.ms-excel.controlproperties+xml"/>
  <Override PartName="/xl/ctrlProps/ctrlProp2.xml" ContentType="application/vnd.ms-excel.controlproperties+xml"/>
  <Override PartName="/docProps/app.xml" ContentType="application/vnd.openxmlformats-officedocument.extended-properties+xml"/>
  <Override PartName="/docProps/core.xml" ContentType="application/vnd.openxmlformats-package.core-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05 - Statistik\1.Daten\17 Politik\"/>
    </mc:Choice>
  </mc:AlternateContent>
  <workbookProtection lockStructure="1"/>
  <bookViews>
    <workbookView xWindow="120" yWindow="150" windowWidth="28515" windowHeight="14370"/>
  </bookViews>
  <sheets>
    <sheet name="Mandate seit 1919" sheetId="3" r:id="rId1"/>
    <sheet name="Mandate nach Geschlecht" sheetId="4" r:id="rId2"/>
    <sheet name="Uebersetzungen" sheetId="5" state="hidden" r:id="rId3"/>
  </sheets>
  <calcPr calcId="162913"/>
</workbook>
</file>

<file path=xl/calcChain.xml><?xml version="1.0" encoding="utf-8"?>
<calcChain xmlns="http://schemas.openxmlformats.org/spreadsheetml/2006/main">
  <c r="A31" i="4" l="1"/>
  <c r="A47" i="3"/>
  <c r="A46" i="3" l="1"/>
  <c r="A28" i="3"/>
  <c r="A12" i="3"/>
  <c r="A11" i="3"/>
  <c r="A12" i="4"/>
  <c r="A9" i="4"/>
  <c r="A7" i="4"/>
  <c r="A26" i="4" l="1"/>
  <c r="A25" i="4"/>
  <c r="A24" i="4"/>
  <c r="A23" i="4"/>
  <c r="A22" i="4"/>
  <c r="A21" i="4"/>
  <c r="A20" i="4"/>
  <c r="A19" i="4"/>
  <c r="A18" i="4"/>
  <c r="A17" i="4"/>
  <c r="A16" i="4"/>
  <c r="A15" i="4"/>
  <c r="A13" i="4"/>
  <c r="A14" i="4"/>
  <c r="BF12" i="4"/>
  <c r="BE12" i="4"/>
  <c r="BD12" i="4"/>
  <c r="BC12" i="4"/>
  <c r="BB12" i="4"/>
  <c r="BA12" i="4"/>
  <c r="AZ12" i="4"/>
  <c r="AY12" i="4"/>
  <c r="AX12" i="4"/>
  <c r="AW12" i="4"/>
  <c r="AV12" i="4"/>
  <c r="AU12" i="4"/>
  <c r="AT12" i="4"/>
  <c r="AS12" i="4"/>
  <c r="AR12" i="4"/>
  <c r="AQ12" i="4"/>
  <c r="AP12" i="4"/>
  <c r="AO12" i="4"/>
  <c r="AN12" i="4"/>
  <c r="AM12" i="4"/>
  <c r="AL12" i="4"/>
  <c r="AK12" i="4"/>
  <c r="AJ12" i="4"/>
  <c r="AI12" i="4"/>
  <c r="AH12" i="4"/>
  <c r="AG12" i="4"/>
  <c r="AF12" i="4"/>
  <c r="AE12" i="4"/>
  <c r="AD12" i="4"/>
  <c r="AC12" i="4"/>
  <c r="AB12" i="4"/>
  <c r="AA12" i="4"/>
  <c r="Z12" i="4"/>
  <c r="Y12" i="4"/>
  <c r="X12" i="4"/>
  <c r="W12" i="4"/>
  <c r="V12" i="4"/>
  <c r="U12" i="4"/>
  <c r="T12" i="4"/>
  <c r="S12" i="4"/>
  <c r="R12" i="4"/>
  <c r="Q12" i="4"/>
  <c r="P12" i="4"/>
  <c r="O12" i="4"/>
  <c r="N12" i="4"/>
  <c r="M12" i="4"/>
  <c r="L12" i="4"/>
  <c r="K12" i="4"/>
  <c r="J12" i="4"/>
  <c r="I12" i="4"/>
  <c r="H12" i="4"/>
  <c r="G12" i="4"/>
  <c r="F12" i="4"/>
  <c r="E12" i="4"/>
  <c r="D12" i="4"/>
  <c r="C12" i="4"/>
  <c r="B12" i="4"/>
  <c r="C44" i="3"/>
  <c r="C43" i="3"/>
  <c r="C42" i="3"/>
  <c r="C41" i="3"/>
  <c r="C40" i="3"/>
  <c r="C39" i="3"/>
  <c r="C38" i="3"/>
  <c r="C37" i="3"/>
  <c r="C36" i="3"/>
  <c r="C35" i="3"/>
  <c r="C34" i="3"/>
  <c r="C33" i="3"/>
  <c r="C32" i="3"/>
  <c r="C31" i="3"/>
  <c r="A30" i="3"/>
  <c r="A28" i="4"/>
  <c r="A30" i="4"/>
  <c r="A26" i="3"/>
  <c r="A25" i="3"/>
  <c r="A24" i="3"/>
  <c r="A23" i="3"/>
  <c r="A22" i="3"/>
  <c r="A21" i="3"/>
  <c r="A20" i="3"/>
  <c r="A19" i="3"/>
  <c r="A18" i="3"/>
  <c r="A17" i="3"/>
  <c r="A16" i="3"/>
  <c r="A15" i="3"/>
  <c r="A14" i="3"/>
  <c r="A13" i="3"/>
  <c r="A9" i="3"/>
  <c r="A7" i="3"/>
  <c r="BF25" i="4" l="1"/>
  <c r="BF24" i="4"/>
  <c r="BF23" i="4"/>
  <c r="BF22" i="4"/>
  <c r="BF21" i="4"/>
  <c r="BF20" i="4"/>
  <c r="BF19" i="4"/>
  <c r="BF17" i="4"/>
  <c r="BF16" i="4"/>
  <c r="BF15" i="4"/>
  <c r="BF14" i="4"/>
  <c r="BF13" i="4"/>
  <c r="BF18" i="4"/>
  <c r="BF26" i="4"/>
  <c r="AN26" i="4"/>
  <c r="AZ26" i="4" l="1"/>
  <c r="AW26" i="4"/>
  <c r="AT26" i="4"/>
  <c r="AQ26" i="4"/>
  <c r="AK26" i="4"/>
  <c r="AH26" i="4"/>
  <c r="AE26" i="4"/>
  <c r="AB26" i="4"/>
  <c r="Y26" i="4"/>
  <c r="V26" i="4"/>
  <c r="S26" i="4"/>
  <c r="P26" i="4"/>
  <c r="M26" i="4"/>
  <c r="J26" i="4"/>
  <c r="G26" i="4"/>
  <c r="D26" i="4"/>
  <c r="AZ25" i="4"/>
  <c r="AW25" i="4"/>
  <c r="AT25" i="4"/>
  <c r="AQ25" i="4"/>
  <c r="AN25" i="4"/>
  <c r="AK25" i="4"/>
  <c r="AH25" i="4"/>
  <c r="AE25" i="4"/>
  <c r="AB25" i="4"/>
  <c r="Y25" i="4"/>
  <c r="V25" i="4"/>
  <c r="S25" i="4"/>
  <c r="P25" i="4"/>
  <c r="M25" i="4"/>
  <c r="J25" i="4"/>
  <c r="G25" i="4"/>
  <c r="D25" i="4"/>
  <c r="AZ24" i="4"/>
  <c r="AW24" i="4"/>
  <c r="AT24" i="4"/>
  <c r="AQ24" i="4"/>
  <c r="AN24" i="4"/>
  <c r="AK24" i="4"/>
  <c r="AH24" i="4"/>
  <c r="AE24" i="4"/>
  <c r="AB24" i="4"/>
  <c r="Y24" i="4"/>
  <c r="V24" i="4"/>
  <c r="S24" i="4"/>
  <c r="P24" i="4"/>
  <c r="M24" i="4"/>
  <c r="J24" i="4"/>
  <c r="G24" i="4"/>
  <c r="D24" i="4"/>
  <c r="AZ23" i="4"/>
  <c r="AW23" i="4"/>
  <c r="AT23" i="4"/>
  <c r="AQ23" i="4"/>
  <c r="AN23" i="4"/>
  <c r="AK23" i="4"/>
  <c r="AH23" i="4"/>
  <c r="AE23" i="4"/>
  <c r="AB23" i="4"/>
  <c r="Y23" i="4"/>
  <c r="V23" i="4"/>
  <c r="S23" i="4"/>
  <c r="P23" i="4"/>
  <c r="M23" i="4"/>
  <c r="J23" i="4"/>
  <c r="G23" i="4"/>
  <c r="D23" i="4"/>
  <c r="AZ21" i="4"/>
  <c r="AW21" i="4"/>
  <c r="AT21" i="4"/>
  <c r="AQ21" i="4"/>
  <c r="AN21" i="4"/>
  <c r="AK21" i="4"/>
  <c r="AH21" i="4"/>
  <c r="AE21" i="4"/>
  <c r="AB21" i="4"/>
  <c r="Y21" i="4"/>
  <c r="V21" i="4"/>
  <c r="S21" i="4"/>
  <c r="P21" i="4"/>
  <c r="M21" i="4"/>
  <c r="J21" i="4"/>
  <c r="G21" i="4"/>
  <c r="D21" i="4"/>
  <c r="AZ20" i="4"/>
  <c r="AW20" i="4"/>
  <c r="AT20" i="4"/>
  <c r="AQ20" i="4"/>
  <c r="AN20" i="4"/>
  <c r="AK20" i="4"/>
  <c r="AH20" i="4"/>
  <c r="AE20" i="4"/>
  <c r="AB20" i="4"/>
  <c r="Y20" i="4"/>
  <c r="V20" i="4"/>
  <c r="S20" i="4"/>
  <c r="P20" i="4"/>
  <c r="M20" i="4"/>
  <c r="J20" i="4"/>
  <c r="G20" i="4"/>
  <c r="D20" i="4"/>
  <c r="AZ19" i="4"/>
  <c r="AW19" i="4"/>
  <c r="AT19" i="4"/>
  <c r="AQ19" i="4"/>
  <c r="AN19" i="4"/>
  <c r="AK19" i="4"/>
  <c r="AH19" i="4"/>
  <c r="AE19" i="4"/>
  <c r="AB19" i="4"/>
  <c r="Y19" i="4"/>
  <c r="V19" i="4"/>
  <c r="S19" i="4"/>
  <c r="P19" i="4"/>
  <c r="M19" i="4"/>
  <c r="J19" i="4"/>
  <c r="G19" i="4"/>
  <c r="D19" i="4"/>
  <c r="AZ18" i="4"/>
  <c r="AW18" i="4"/>
  <c r="AT18" i="4"/>
  <c r="AQ18" i="4"/>
  <c r="AN18" i="4"/>
  <c r="AK18" i="4"/>
  <c r="AH18" i="4"/>
  <c r="AE18" i="4"/>
  <c r="AB18" i="4"/>
  <c r="Y18" i="4"/>
  <c r="V18" i="4"/>
  <c r="S18" i="4"/>
  <c r="P18" i="4"/>
  <c r="M18" i="4"/>
  <c r="J18" i="4"/>
  <c r="G18" i="4"/>
  <c r="D18" i="4"/>
  <c r="AZ17" i="4"/>
  <c r="AW17" i="4"/>
  <c r="AT17" i="4"/>
  <c r="AQ17" i="4"/>
  <c r="AN17" i="4"/>
  <c r="AK17" i="4"/>
  <c r="AH17" i="4"/>
  <c r="AE17" i="4"/>
  <c r="AB17" i="4"/>
  <c r="Y17" i="4"/>
  <c r="V17" i="4"/>
  <c r="S17" i="4"/>
  <c r="P17" i="4"/>
  <c r="M17" i="4"/>
  <c r="J17" i="4"/>
  <c r="G17" i="4"/>
  <c r="D17" i="4"/>
  <c r="AZ16" i="4"/>
  <c r="AW16" i="4"/>
  <c r="AT16" i="4"/>
  <c r="AQ16" i="4"/>
  <c r="AN16" i="4"/>
  <c r="AK16" i="4"/>
  <c r="AH16" i="4"/>
  <c r="AE16" i="4"/>
  <c r="AB16" i="4"/>
  <c r="Y16" i="4"/>
  <c r="V16" i="4"/>
  <c r="S16" i="4"/>
  <c r="P16" i="4"/>
  <c r="M16" i="4"/>
  <c r="J16" i="4"/>
  <c r="G16" i="4"/>
  <c r="D16" i="4"/>
  <c r="AZ15" i="4"/>
  <c r="AW15" i="4"/>
  <c r="AT15" i="4"/>
  <c r="AQ15" i="4"/>
  <c r="AN15" i="4"/>
  <c r="AK15" i="4"/>
  <c r="AH15" i="4"/>
  <c r="AE15" i="4"/>
  <c r="AB15" i="4"/>
  <c r="Y15" i="4"/>
  <c r="V15" i="4"/>
  <c r="S15" i="4"/>
  <c r="P15" i="4"/>
  <c r="M15" i="4"/>
  <c r="J15" i="4"/>
  <c r="G15" i="4"/>
  <c r="D15" i="4"/>
  <c r="AZ13" i="4"/>
  <c r="AW13" i="4"/>
  <c r="AT13" i="4"/>
  <c r="AQ13" i="4"/>
  <c r="AN13" i="4"/>
  <c r="AK13" i="4"/>
  <c r="AH13" i="4"/>
  <c r="AE13" i="4"/>
  <c r="AB13" i="4"/>
  <c r="Y13" i="4"/>
  <c r="V13" i="4"/>
  <c r="S13" i="4"/>
  <c r="P13" i="4"/>
  <c r="M13" i="4"/>
  <c r="J13" i="4"/>
  <c r="G13" i="4"/>
  <c r="D13" i="4"/>
</calcChain>
</file>

<file path=xl/sharedStrings.xml><?xml version="1.0" encoding="utf-8"?>
<sst xmlns="http://schemas.openxmlformats.org/spreadsheetml/2006/main" count="238" uniqueCount="152">
  <si>
    <t>Partei</t>
  </si>
  <si>
    <t>F</t>
  </si>
  <si>
    <t>M</t>
  </si>
  <si>
    <t>FDP</t>
  </si>
  <si>
    <t>CVP</t>
  </si>
  <si>
    <t>SP</t>
  </si>
  <si>
    <t>SVP</t>
  </si>
  <si>
    <t>BDP</t>
  </si>
  <si>
    <t>Total</t>
  </si>
  <si>
    <t>LdU</t>
  </si>
  <si>
    <t>CSP</t>
  </si>
  <si>
    <t>GLP</t>
  </si>
  <si>
    <t>DSP</t>
  </si>
  <si>
    <t>FGA</t>
  </si>
  <si>
    <t>Dem.</t>
  </si>
  <si>
    <t>Grüt</t>
  </si>
  <si>
    <t>Übrige</t>
  </si>
  <si>
    <t>Anmerkungen zu den Übrigen:</t>
  </si>
  <si>
    <t>1919–1981:</t>
  </si>
  <si>
    <t>Parteilos</t>
  </si>
  <si>
    <t>Parteilos 3 Mandate; Unabhängige Demokratische Partei Davos 1 Mandat</t>
  </si>
  <si>
    <t>Parteilos 3 Mandate, Unabhängige Demokratische Partei Davos 1 Mandat</t>
  </si>
  <si>
    <t>Parteilos 1 Mandat, Unabhängige Demokratische Partei Davos 1 Mandat</t>
  </si>
  <si>
    <t>Unabhängige Demokratsiche Partei Davos</t>
  </si>
  <si>
    <t>Parteilos 4 Mandate; Insieme per Poschiavo 1 Mandat</t>
  </si>
  <si>
    <t>F in %</t>
  </si>
  <si>
    <t>Quelle: BFS (Statistik der Wahlen und Abstimmungen)</t>
  </si>
  <si>
    <t>2014*</t>
  </si>
  <si>
    <t>Kantonale Parlamentswahlen Graubünden: Mandate seit 1919</t>
  </si>
  <si>
    <t>Kantonale Parlamentswahlen Graubünden: Mandate nach Geschlecht seit 1973</t>
  </si>
  <si>
    <t>Die Mitte</t>
  </si>
  <si>
    <t>Grüne</t>
  </si>
  <si>
    <t>Tabelle</t>
  </si>
  <si>
    <t>Code</t>
  </si>
  <si>
    <t>DE</t>
  </si>
  <si>
    <t>RM</t>
  </si>
  <si>
    <t>IT</t>
  </si>
  <si>
    <t>Sprache</t>
  </si>
  <si>
    <t>&lt;Fachbereich&gt;</t>
  </si>
  <si>
    <t>Daten &amp; Statistik</t>
  </si>
  <si>
    <t>Datas &amp; Statistica</t>
  </si>
  <si>
    <t>Dati &amp; Statistica</t>
  </si>
  <si>
    <t>T1</t>
  </si>
  <si>
    <t>&lt;Titel&gt;</t>
  </si>
  <si>
    <t>T1-2</t>
  </si>
  <si>
    <t>&lt;SpaltenTitel_1&gt;</t>
  </si>
  <si>
    <t>Totale</t>
  </si>
  <si>
    <t>&lt;Zeilentitel_1&gt;</t>
  </si>
  <si>
    <t>&lt;Zeilentitel_2&gt;</t>
  </si>
  <si>
    <t>&lt;Zeilentitel_3&gt;</t>
  </si>
  <si>
    <t>&lt;Zeilentitel_4&gt;</t>
  </si>
  <si>
    <t>&lt;Zeilentitel_5&gt;</t>
  </si>
  <si>
    <t>&lt;Zeilentitel_6&gt;</t>
  </si>
  <si>
    <t>&lt;Zeilentitel_7&gt;</t>
  </si>
  <si>
    <t>&lt;Zeilentitel_8&gt;</t>
  </si>
  <si>
    <t>&lt;Zeilentitel_9&gt;</t>
  </si>
  <si>
    <t>&lt;Zeilentitel_10&gt;</t>
  </si>
  <si>
    <t>&lt;Zeilentitel_11&gt;</t>
  </si>
  <si>
    <t>&lt;Zeilentitel_12&gt;</t>
  </si>
  <si>
    <t>&lt;Zeilentitel_13&gt;</t>
  </si>
  <si>
    <t>&lt;Zeilentitel_14&gt;</t>
  </si>
  <si>
    <t>&lt;Zeilentitel_15&gt;</t>
  </si>
  <si>
    <t>&lt;Legende_1&gt;</t>
  </si>
  <si>
    <t>&lt;Legende_2&gt;</t>
  </si>
  <si>
    <t>&lt;Legende_3&gt;</t>
  </si>
  <si>
    <t>&lt;Legende_4&gt;</t>
  </si>
  <si>
    <t>&lt;Quelle_1&gt;</t>
  </si>
  <si>
    <t>&lt;Aktualisierung&gt;</t>
  </si>
  <si>
    <t>T2</t>
  </si>
  <si>
    <t>&lt;T2Titel&gt;</t>
  </si>
  <si>
    <t>&lt;T2Zeilentitel_1&gt;</t>
  </si>
  <si>
    <t>&lt;T2Zeilentitel_2&gt;</t>
  </si>
  <si>
    <t>&lt;T2Zeilentitel_3&gt;</t>
  </si>
  <si>
    <t>&lt;T2Zeilentitel_4&gt;</t>
  </si>
  <si>
    <t>&lt;T2Zeilentitel_5&gt;</t>
  </si>
  <si>
    <t>&lt;T2Zeilentitel_6&gt;</t>
  </si>
  <si>
    <t>&lt;T2Zeilentitel_7&gt;</t>
  </si>
  <si>
    <t>&lt;T2Zeilentitel_8&gt;</t>
  </si>
  <si>
    <t>*) Im Kanton Graubünden wurde bei den Grossratswahlen vom 18. Mai 2014 der gewählte BDP-Vertreter im Majorzwahlkreis Suot Tasna gleichzeitig in die Regierung gewählt. In der daraufhin nötigen Nachwahl eroberte die FDP den frei gewordenen Sitz. In der Tabelle ist der Stand am Wahltag der Gesamterneuerungswahlen (18.5.2014) mit dem BDP-Gewählten und nicht das Ergebnis der Nachwahl vom 6. Juli 2014 aufgeführt.</t>
  </si>
  <si>
    <t>Funtauna: UST (statistica d'elecziuns e da votaziuns)</t>
  </si>
  <si>
    <t>Fonte: UST (statistiche delle elezioni e votazioni)</t>
  </si>
  <si>
    <t>Letztmals aktualisiert am: 21.03.2024</t>
  </si>
  <si>
    <t>Ultima actualisaziun: 21.03.2024</t>
  </si>
  <si>
    <t>Ultimo aggiornamento: 21.03.2024</t>
  </si>
  <si>
    <t>&lt;Legende_5&gt;</t>
  </si>
  <si>
    <t>&lt;Legende_6&gt;</t>
  </si>
  <si>
    <t>&lt;Legende_7&gt;</t>
  </si>
  <si>
    <t>&lt;Legende_8&gt;</t>
  </si>
  <si>
    <t>&lt;Legende_9&gt;</t>
  </si>
  <si>
    <t>&lt;Legende_10&gt;</t>
  </si>
  <si>
    <t>&lt;Legende_11&gt;</t>
  </si>
  <si>
    <t>&lt;Legende_12&gt;</t>
  </si>
  <si>
    <t>&lt;Legende_13&gt;</t>
  </si>
  <si>
    <t>&lt;Legende_14&gt;</t>
  </si>
  <si>
    <t>&lt;Legende_15&gt;</t>
  </si>
  <si>
    <t>&lt;Legende_16&gt;</t>
  </si>
  <si>
    <t>&lt;T2SpaltenTitel_1&gt;</t>
  </si>
  <si>
    <t>&lt;T2SpaltenTitel_2&gt;</t>
  </si>
  <si>
    <t>&lt;T2SpaltenTitel_3&gt;</t>
  </si>
  <si>
    <t>&lt;T2SpaltenTitel_4&gt;</t>
  </si>
  <si>
    <t>&lt;T2Zeilentitel_9&gt;</t>
  </si>
  <si>
    <t>&lt;T2Zeilentitel_10&gt;</t>
  </si>
  <si>
    <t>&lt;T2Zeilentitel_11&gt;</t>
  </si>
  <si>
    <t>&lt;T2Zeilentitel_12&gt;</t>
  </si>
  <si>
    <t>&lt;T2Zeilentitel_13&gt;</t>
  </si>
  <si>
    <t>&lt;T2Zeilentitel_14&gt;</t>
  </si>
  <si>
    <t>Elecziuns dal parlament chantunal dal Grischun: Mandats dapi il 1919</t>
  </si>
  <si>
    <t>Partida</t>
  </si>
  <si>
    <t>Partito</t>
  </si>
  <si>
    <t>Elezioni del Parlamento cantonali Grigioni: mandati dal 1919</t>
  </si>
  <si>
    <t>*) Nel cantone dei Grigioni, in occasione delle elezioni del Gran Consiglio del 18 maggio 2014, il rappresentante eletto del BDP nella circoscrizione maggioritaria di Suot Tasna è stato eletto al governo. Nelle successive elezioni suppletive, il partito FDP ha conquistato il seggio rimasto vacante. La tabella riporta la situazione alla data delle elezioni per il rinnovo generale (18.5.2014) con l'eletto BDP e non il risultato delle elezioni suppletive del 6 luglio 2014.</t>
  </si>
  <si>
    <t>*) En il chantun Grischun è vegnì elegì a medem temp en la regenza il represchentant da la PBD ch' è vegnì elegì en il circul electoral da maiorz Suot Tasna a chaschun da las elecziuns dal cussegl grond dals 18 da matg 2014. En la regenza ha la PLD conquistà il sez ch' è vegnì liber. En la tabella figurescha il stadi il di d' elecziun da las elecziuns per la renovaziun totala (18-5-2014) cun l' elegì da la PBD e betg il resultat da l' elecziun supplementara dals 6 da fanadur 2014.</t>
  </si>
  <si>
    <t>PLD</t>
  </si>
  <si>
    <t>PLR</t>
  </si>
  <si>
    <t>Allianza dal Center</t>
  </si>
  <si>
    <t>Il Centro</t>
  </si>
  <si>
    <t>PCD</t>
  </si>
  <si>
    <t>PPD</t>
  </si>
  <si>
    <t>PS</t>
  </si>
  <si>
    <t>PPS</t>
  </si>
  <si>
    <t>UDC</t>
  </si>
  <si>
    <t>PBD</t>
  </si>
  <si>
    <t>D</t>
  </si>
  <si>
    <t>U</t>
  </si>
  <si>
    <t>D in %</t>
  </si>
  <si>
    <t>Elecziuns dal parlament chantunal dal Grischun: Mandats tenor schlattaina dapi l' onn 1973</t>
  </si>
  <si>
    <t>Elezioni del Parlamento cantonali Grigioni: Mandati per sesso dal 1973</t>
  </si>
  <si>
    <t>AdI</t>
  </si>
  <si>
    <t>PCS</t>
  </si>
  <si>
    <t>PVL</t>
  </si>
  <si>
    <t>PDS</t>
  </si>
  <si>
    <t>PD</t>
  </si>
  <si>
    <t>Autras</t>
  </si>
  <si>
    <t>Altri</t>
  </si>
  <si>
    <t>Osservazioni su "altri":</t>
  </si>
  <si>
    <t>Senza partito</t>
  </si>
  <si>
    <t>Senza partito 3 mandati; Partito democratico indipendente di Davos 1 mandato</t>
  </si>
  <si>
    <t>Senza partito 1 mandati; Partito democratico indipendente di Davos 1 mandato</t>
  </si>
  <si>
    <t>Partito democratico indipendente di Davos</t>
  </si>
  <si>
    <t>Senza partito 4 mandati; Insieme per Poschiavo 1 mandato</t>
  </si>
  <si>
    <t>Senza partito 3 mandati; Insieme per Poschiavo 1 mandato</t>
  </si>
  <si>
    <t>Parteilos 3 Mandate; Insieme per Poschiavo 1 Mandat</t>
  </si>
  <si>
    <t>Remartgas davart ils auters:</t>
  </si>
  <si>
    <t>Senza partida</t>
  </si>
  <si>
    <t>Adl</t>
  </si>
  <si>
    <t>Senza partida 3 mandats; Partida democratica independenta Davos 1 mandat</t>
  </si>
  <si>
    <t>Senza partida 1 mandats; Partida democratica independenta Davos 1 mandat</t>
  </si>
  <si>
    <t>Partida democratica independenta Davos</t>
  </si>
  <si>
    <t>Senza partida 3 mandats;  Insieme per Poschiavo 1 mandat</t>
  </si>
  <si>
    <t>Senza partida 4 mandats;  Insieme per Poschiavo 1 mandat</t>
  </si>
  <si>
    <t>Verd</t>
  </si>
  <si>
    <t>Verdi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</si>
</sst>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  &quot;@"/>
    <numFmt numFmtId="165" formatCode="0.0&quot;     &quot;"/>
    <numFmt numFmtId="166" formatCode="0&quot; &quot;"/>
    <numFmt numFmtId="167" formatCode="0.0"/>
    <numFmt numFmtId="168" formatCode="@&quot;  &quot;"/>
    <numFmt numFmtId="169" formatCode="0.0&quot;       &quot;"/>
  </numFmts>
  <fonts count="14" x14ac:knownFonts="1">
    <font>
      <sz val="8"/>
      <name val="Arial"/>
    </font>
    <font>
      <sz val="8"/>
      <name val="Arial"/>
      <family val="2"/>
    </font>
    <font>
      <sz val="11"/>
      <color indexed="8"/>
      <name val="Calibri"/>
      <family val="2"/>
    </font>
    <font>
      <sz val="11"/>
      <name val="Arial"/>
      <family val="2"/>
    </font>
    <font>
      <b/>
      <sz val="11"/>
      <name val="Arial"/>
      <family val="2"/>
    </font>
    <font>
      <b/>
      <u/>
      <sz val="11"/>
      <name val="Arial"/>
      <family val="2"/>
    </font>
    <font>
      <b/>
      <sz val="10"/>
      <name val="Arial"/>
      <family val="2"/>
    </font>
    <font>
      <b/>
      <sz val="12"/>
      <name val="Arial"/>
      <family val="2"/>
    </font>
    <font>
      <sz val="14"/>
      <color rgb="FFFF0000"/>
      <name val="Arial"/>
      <family val="2"/>
    </font>
    <font>
      <sz val="9"/>
      <name val="Arial"/>
      <family val="2"/>
    </font>
    <font>
      <sz val="10"/>
      <name val="Arial"/>
      <family val="2"/>
    </font>
    <font>
      <sz val="10"/>
      <color indexed="10"/>
      <name val="Arial"/>
      <family val="2"/>
    </font>
    <font>
      <sz val="8"/>
      <color rgb="FF000000"/>
      <name val="Segoe UI"/>
      <family val="2"/>
    </font>
    <font>
      <b/>
      <u/>
      <sz val="10"/>
      <name val="Arial"/>
      <family val="2"/>
    </font>
  </fonts>
  <fills count="10">
    <fill>
      <patternFill patternType="none"/>
    </fill>
    <fill>
      <patternFill patternType="gray125"/>
    </fill>
    <fill>
      <patternFill patternType="solid">
        <fgColor indexed="9"/>
        <bgColor indexed="64"/>
      </patternFill>
    </fill>
    <fill>
      <patternFill patternType="solid">
        <fgColor theme="2" tint="-9.9978637043366805E-2"/>
        <bgColor indexed="64"/>
      </patternFill>
    </fill>
    <fill>
      <patternFill patternType="solid">
        <fgColor theme="2"/>
        <bgColor indexed="64"/>
      </patternFill>
    </fill>
    <fill>
      <patternFill patternType="solid">
        <fgColor theme="0"/>
        <bgColor indexed="64"/>
      </patternFill>
    </fill>
    <fill>
      <patternFill patternType="solid">
        <fgColor indexed="9"/>
        <bgColor indexed="9"/>
      </patternFill>
    </fill>
    <fill>
      <patternFill patternType="solid">
        <fgColor theme="1"/>
        <bgColor indexed="64"/>
      </patternFill>
    </fill>
    <fill>
      <patternFill patternType="solid">
        <fgColor rgb="FFFFFFFF"/>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2" fillId="0" borderId="0"/>
    <xf numFmtId="0" fontId="1" fillId="0" borderId="0"/>
    <xf numFmtId="0" fontId="2" fillId="0" borderId="0"/>
  </cellStyleXfs>
  <cellXfs count="93">
    <xf numFmtId="0" fontId="0" fillId="0" borderId="0" xfId="0"/>
    <xf numFmtId="0" fontId="3" fillId="0" borderId="0" xfId="0" applyFont="1" applyFill="1"/>
    <xf numFmtId="0" fontId="4" fillId="0" borderId="0" xfId="0" applyNumberFormat="1" applyFont="1" applyFill="1" applyBorder="1"/>
    <xf numFmtId="0" fontId="4" fillId="0" borderId="0" xfId="0" applyFont="1" applyFill="1"/>
    <xf numFmtId="0" fontId="3" fillId="0" borderId="0" xfId="0" applyFont="1" applyFill="1" applyAlignment="1">
      <alignment vertical="center"/>
    </xf>
    <xf numFmtId="164" fontId="3" fillId="0" borderId="0" xfId="0" applyNumberFormat="1" applyFont="1" applyFill="1" applyBorder="1" applyAlignment="1">
      <alignment vertical="center"/>
    </xf>
    <xf numFmtId="0" fontId="3" fillId="0" borderId="0" xfId="0" applyFont="1" applyFill="1" applyBorder="1" applyAlignment="1">
      <alignment vertical="center"/>
    </xf>
    <xf numFmtId="0" fontId="3" fillId="0" borderId="0" xfId="0" applyNumberFormat="1" applyFont="1" applyFill="1" applyBorder="1"/>
    <xf numFmtId="0" fontId="3" fillId="0" borderId="0" xfId="0" applyFont="1" applyFill="1" applyBorder="1"/>
    <xf numFmtId="0" fontId="3" fillId="0" borderId="0" xfId="0" applyNumberFormat="1" applyFont="1" applyFill="1"/>
    <xf numFmtId="164" fontId="3" fillId="0" borderId="0" xfId="0" applyNumberFormat="1" applyFont="1" applyFill="1" applyBorder="1" applyAlignment="1">
      <alignment horizontal="left"/>
    </xf>
    <xf numFmtId="169" fontId="3" fillId="0" borderId="0" xfId="0" applyNumberFormat="1" applyFont="1" applyFill="1" applyBorder="1"/>
    <xf numFmtId="0" fontId="3" fillId="3" borderId="1" xfId="0" applyNumberFormat="1" applyFont="1" applyFill="1" applyBorder="1" applyAlignment="1">
      <alignment vertical="center"/>
    </xf>
    <xf numFmtId="0" fontId="3" fillId="4" borderId="6" xfId="0" applyNumberFormat="1" applyFont="1" applyFill="1" applyBorder="1" applyAlignment="1">
      <alignment horizontal="center" vertical="center"/>
    </xf>
    <xf numFmtId="0" fontId="3" fillId="4" borderId="8" xfId="0" applyFont="1" applyFill="1" applyBorder="1"/>
    <xf numFmtId="165" fontId="3" fillId="4" borderId="7" xfId="0" applyNumberFormat="1" applyFont="1" applyFill="1" applyBorder="1"/>
    <xf numFmtId="165" fontId="3" fillId="4" borderId="5" xfId="0" applyNumberFormat="1" applyFont="1" applyFill="1" applyBorder="1"/>
    <xf numFmtId="0" fontId="3" fillId="4" borderId="4" xfId="0" applyNumberFormat="1" applyFont="1" applyFill="1" applyBorder="1" applyAlignment="1">
      <alignment horizontal="left" vertical="center"/>
    </xf>
    <xf numFmtId="0" fontId="3" fillId="4" borderId="15" xfId="0" applyNumberFormat="1" applyFont="1" applyFill="1" applyBorder="1"/>
    <xf numFmtId="0" fontId="3" fillId="4" borderId="4" xfId="0" applyNumberFormat="1" applyFont="1" applyFill="1" applyBorder="1" applyAlignment="1">
      <alignment horizontal="center" vertical="center"/>
    </xf>
    <xf numFmtId="166" fontId="3" fillId="0" borderId="15" xfId="0" applyNumberFormat="1" applyFont="1" applyFill="1" applyBorder="1" applyAlignment="1">
      <alignment horizontal="right"/>
    </xf>
    <xf numFmtId="166" fontId="3" fillId="3" borderId="4" xfId="0" applyNumberFormat="1" applyFont="1" applyFill="1" applyBorder="1" applyAlignment="1">
      <alignment horizontal="right" vertical="center"/>
    </xf>
    <xf numFmtId="0" fontId="6" fillId="5" borderId="0" xfId="0" applyFont="1" applyFill="1"/>
    <xf numFmtId="0" fontId="7" fillId="5" borderId="0" xfId="0" applyFont="1" applyFill="1"/>
    <xf numFmtId="0" fontId="6" fillId="5" borderId="0" xfId="0" applyFont="1" applyFill="1" applyBorder="1"/>
    <xf numFmtId="0" fontId="7" fillId="5" borderId="0" xfId="0" applyFont="1" applyFill="1" applyBorder="1"/>
    <xf numFmtId="0" fontId="8" fillId="6" borderId="0" xfId="0" applyFont="1" applyFill="1" applyBorder="1" applyAlignment="1">
      <alignment vertical="center"/>
    </xf>
    <xf numFmtId="0" fontId="6" fillId="0" borderId="0" xfId="0" applyNumberFormat="1" applyFont="1" applyFill="1" applyBorder="1"/>
    <xf numFmtId="0" fontId="6" fillId="0" borderId="0" xfId="0" applyFont="1" applyFill="1"/>
    <xf numFmtId="0" fontId="10" fillId="0" borderId="0" xfId="0" applyFont="1" applyFill="1"/>
    <xf numFmtId="0" fontId="10" fillId="0" borderId="0" xfId="0" applyFont="1" applyFill="1" applyAlignment="1">
      <alignment vertical="center"/>
    </xf>
    <xf numFmtId="0" fontId="10" fillId="0" borderId="0" xfId="0" applyNumberFormat="1" applyFont="1" applyFill="1" applyBorder="1"/>
    <xf numFmtId="0" fontId="10" fillId="0" borderId="0" xfId="0" applyNumberFormat="1" applyFont="1" applyFill="1"/>
    <xf numFmtId="166" fontId="3" fillId="0" borderId="0" xfId="0" applyNumberFormat="1" applyFont="1" applyFill="1"/>
    <xf numFmtId="0" fontId="10" fillId="0" borderId="0" xfId="0" applyFont="1" applyBorder="1" applyAlignment="1">
      <alignment horizontal="left" vertical="top" wrapText="1"/>
    </xf>
    <xf numFmtId="0" fontId="10" fillId="5" borderId="0" xfId="0" applyFont="1" applyFill="1"/>
    <xf numFmtId="0" fontId="0" fillId="5" borderId="0" xfId="0" applyFill="1"/>
    <xf numFmtId="166" fontId="3" fillId="3" borderId="4" xfId="0" applyNumberFormat="1" applyFont="1" applyFill="1" applyBorder="1" applyAlignment="1">
      <alignment horizontal="left" vertical="center"/>
    </xf>
    <xf numFmtId="0" fontId="6" fillId="7" borderId="0" xfId="0" applyFont="1" applyFill="1" applyBorder="1" applyAlignment="1">
      <alignment horizontal="left" vertical="top" wrapText="1"/>
    </xf>
    <xf numFmtId="0" fontId="10" fillId="3" borderId="0" xfId="0" applyFont="1" applyFill="1" applyBorder="1" applyAlignment="1">
      <alignment horizontal="left" vertical="top" wrapText="1"/>
    </xf>
    <xf numFmtId="0" fontId="6" fillId="3" borderId="0" xfId="0" applyFont="1" applyFill="1" applyBorder="1" applyAlignment="1">
      <alignment horizontal="left" vertical="top" wrapText="1"/>
    </xf>
    <xf numFmtId="0" fontId="10" fillId="3" borderId="0" xfId="0" applyFont="1" applyFill="1" applyBorder="1" applyAlignment="1" applyProtection="1">
      <alignment horizontal="left" vertical="top" wrapText="1"/>
      <protection locked="0"/>
    </xf>
    <xf numFmtId="0" fontId="10" fillId="0" borderId="0" xfId="0" applyFont="1" applyFill="1" applyBorder="1" applyAlignment="1">
      <alignment horizontal="left" vertical="top" wrapText="1"/>
    </xf>
    <xf numFmtId="0" fontId="10" fillId="9" borderId="0" xfId="0" applyFont="1" applyFill="1" applyBorder="1" applyAlignment="1">
      <alignment horizontal="left" vertical="top" wrapText="1"/>
    </xf>
    <xf numFmtId="0" fontId="10" fillId="0" borderId="0" xfId="0" applyFont="1" applyBorder="1" applyAlignment="1">
      <alignment vertical="top" wrapText="1"/>
    </xf>
    <xf numFmtId="0" fontId="10" fillId="8" borderId="0" xfId="0" applyFont="1" applyFill="1" applyBorder="1" applyAlignment="1">
      <alignment vertical="top" wrapText="1"/>
    </xf>
    <xf numFmtId="0" fontId="10" fillId="8" borderId="0" xfId="0" applyFont="1" applyFill="1" applyBorder="1" applyAlignment="1">
      <alignment horizontal="left" vertical="center" wrapText="1"/>
    </xf>
    <xf numFmtId="0" fontId="10" fillId="9" borderId="0" xfId="0" applyFont="1" applyFill="1" applyBorder="1" applyAlignment="1">
      <alignment wrapText="1"/>
    </xf>
    <xf numFmtId="0" fontId="10" fillId="2" borderId="0" xfId="1" applyFont="1" applyFill="1" applyBorder="1" applyAlignment="1">
      <alignment horizontal="left" indent="1"/>
    </xf>
    <xf numFmtId="164" fontId="10" fillId="0" borderId="0" xfId="0" applyNumberFormat="1" applyFont="1" applyFill="1" applyBorder="1" applyAlignment="1">
      <alignment horizontal="left"/>
    </xf>
    <xf numFmtId="169" fontId="10" fillId="0" borderId="0" xfId="0" applyNumberFormat="1" applyFont="1" applyFill="1" applyBorder="1"/>
    <xf numFmtId="0" fontId="10" fillId="2" borderId="0" xfId="0" applyFont="1" applyFill="1" applyBorder="1" applyAlignment="1"/>
    <xf numFmtId="0" fontId="13" fillId="0" borderId="0" xfId="0" applyFont="1" applyFill="1" applyBorder="1"/>
    <xf numFmtId="0" fontId="10" fillId="2" borderId="0" xfId="0" applyFont="1" applyFill="1" applyBorder="1" applyAlignment="1">
      <alignment horizontal="left"/>
    </xf>
    <xf numFmtId="0" fontId="10" fillId="0" borderId="0" xfId="0" applyFont="1" applyFill="1" applyAlignment="1">
      <alignment horizontal="left"/>
    </xf>
    <xf numFmtId="0" fontId="10" fillId="5" borderId="0" xfId="0" applyFont="1" applyFill="1" applyAlignment="1">
      <alignment horizontal="center"/>
    </xf>
    <xf numFmtId="0" fontId="7" fillId="5" borderId="0" xfId="0" applyFont="1" applyFill="1" applyAlignment="1">
      <alignment horizontal="center"/>
    </xf>
    <xf numFmtId="0" fontId="0" fillId="5" borderId="0" xfId="0" applyFill="1" applyAlignment="1">
      <alignment horizontal="center"/>
    </xf>
    <xf numFmtId="0" fontId="6" fillId="5" borderId="0" xfId="0" applyFont="1" applyFill="1" applyBorder="1" applyAlignment="1">
      <alignment horizontal="center"/>
    </xf>
    <xf numFmtId="0" fontId="6" fillId="5" borderId="0" xfId="0" applyFont="1" applyFill="1" applyAlignment="1">
      <alignment horizontal="center"/>
    </xf>
    <xf numFmtId="0" fontId="7" fillId="5" borderId="0" xfId="0" applyFont="1" applyFill="1" applyBorder="1" applyAlignment="1">
      <alignment horizontal="center"/>
    </xf>
    <xf numFmtId="0" fontId="6" fillId="0" borderId="0" xfId="0" applyFont="1" applyFill="1" applyAlignment="1">
      <alignment horizontal="center"/>
    </xf>
    <xf numFmtId="0" fontId="9" fillId="0" borderId="0" xfId="0" applyFont="1" applyFill="1" applyAlignment="1">
      <alignment horizontal="center"/>
    </xf>
    <xf numFmtId="0" fontId="10" fillId="0" borderId="0" xfId="0" applyFont="1" applyFill="1" applyAlignment="1">
      <alignment horizontal="center"/>
    </xf>
    <xf numFmtId="16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Alignment="1">
      <alignment horizontal="center" vertical="center"/>
    </xf>
    <xf numFmtId="0" fontId="3" fillId="0" borderId="0" xfId="0" applyFont="1" applyFill="1" applyAlignment="1">
      <alignment horizontal="center"/>
    </xf>
    <xf numFmtId="0" fontId="3" fillId="0" borderId="0" xfId="0" applyFont="1" applyFill="1" applyBorder="1" applyAlignment="1">
      <alignment horizontal="center"/>
    </xf>
    <xf numFmtId="166" fontId="3" fillId="0" borderId="7" xfId="0" applyNumberFormat="1" applyFont="1" applyFill="1" applyBorder="1" applyAlignment="1">
      <alignment horizontal="center"/>
    </xf>
    <xf numFmtId="166" fontId="3" fillId="0" borderId="9" xfId="0" applyNumberFormat="1" applyFont="1" applyFill="1" applyBorder="1" applyAlignment="1">
      <alignment horizontal="center"/>
    </xf>
    <xf numFmtId="167" fontId="3" fillId="0" borderId="10" xfId="0" applyNumberFormat="1" applyFont="1" applyFill="1" applyBorder="1" applyAlignment="1">
      <alignment horizontal="center"/>
    </xf>
    <xf numFmtId="166" fontId="3" fillId="0" borderId="5" xfId="0" applyNumberFormat="1" applyFont="1" applyFill="1" applyBorder="1" applyAlignment="1">
      <alignment horizontal="center"/>
    </xf>
    <xf numFmtId="166" fontId="3" fillId="0" borderId="0" xfId="0" applyNumberFormat="1" applyFont="1" applyFill="1" applyBorder="1" applyAlignment="1">
      <alignment horizontal="center"/>
    </xf>
    <xf numFmtId="167" fontId="3" fillId="0" borderId="11" xfId="0" applyNumberFormat="1" applyFont="1" applyFill="1" applyBorder="1" applyAlignment="1">
      <alignment horizontal="center"/>
    </xf>
    <xf numFmtId="166" fontId="3" fillId="0" borderId="12" xfId="0" applyNumberFormat="1" applyFont="1" applyFill="1" applyBorder="1" applyAlignment="1">
      <alignment horizontal="center"/>
    </xf>
    <xf numFmtId="166" fontId="3" fillId="0" borderId="13" xfId="0" applyNumberFormat="1" applyFont="1" applyFill="1" applyBorder="1" applyAlignment="1">
      <alignment horizontal="center"/>
    </xf>
    <xf numFmtId="167" fontId="3" fillId="0" borderId="14" xfId="0" applyNumberFormat="1" applyFont="1" applyFill="1" applyBorder="1" applyAlignment="1">
      <alignment horizontal="center"/>
    </xf>
    <xf numFmtId="166" fontId="3" fillId="3" borderId="12" xfId="0" applyNumberFormat="1" applyFont="1" applyFill="1" applyBorder="1" applyAlignment="1">
      <alignment horizontal="center" vertical="center"/>
    </xf>
    <xf numFmtId="166" fontId="3" fillId="3" borderId="13" xfId="0" applyNumberFormat="1" applyFont="1" applyFill="1" applyBorder="1" applyAlignment="1">
      <alignment horizontal="center" vertical="center"/>
    </xf>
    <xf numFmtId="167" fontId="3" fillId="3" borderId="14" xfId="0" applyNumberFormat="1" applyFont="1" applyFill="1" applyBorder="1" applyAlignment="1">
      <alignment horizontal="center" vertical="center"/>
    </xf>
    <xf numFmtId="0" fontId="5" fillId="0" borderId="0" xfId="0" applyFont="1" applyFill="1" applyBorder="1" applyAlignment="1">
      <alignment horizontal="center"/>
    </xf>
    <xf numFmtId="164" fontId="3" fillId="0" borderId="0" xfId="0" applyNumberFormat="1" applyFont="1" applyFill="1" applyBorder="1" applyAlignment="1">
      <alignment horizontal="center"/>
    </xf>
    <xf numFmtId="164" fontId="10" fillId="0" borderId="0" xfId="0" applyNumberFormat="1" applyFont="1" applyFill="1" applyBorder="1" applyAlignment="1">
      <alignment horizontal="center"/>
    </xf>
    <xf numFmtId="169" fontId="10" fillId="0" borderId="0" xfId="0" applyNumberFormat="1" applyFont="1" applyFill="1" applyBorder="1" applyAlignment="1">
      <alignment horizontal="center"/>
    </xf>
    <xf numFmtId="0" fontId="13" fillId="0" borderId="0" xfId="0" applyFont="1" applyFill="1" applyBorder="1" applyAlignment="1">
      <alignment horizontal="center"/>
    </xf>
    <xf numFmtId="168" fontId="11" fillId="0" borderId="0" xfId="0" applyNumberFormat="1" applyFont="1" applyFill="1" applyAlignment="1">
      <alignment horizontal="center"/>
    </xf>
    <xf numFmtId="0" fontId="11" fillId="0" borderId="0" xfId="0" applyFont="1" applyFill="1" applyAlignment="1">
      <alignment horizontal="center"/>
    </xf>
    <xf numFmtId="0" fontId="7" fillId="5" borderId="0" xfId="0" applyFont="1" applyFill="1" applyBorder="1" applyAlignment="1">
      <alignment horizontal="left" vertical="top" wrapText="1"/>
    </xf>
    <xf numFmtId="0" fontId="10" fillId="2" borderId="0" xfId="1" applyFont="1" applyFill="1" applyBorder="1" applyAlignment="1">
      <alignment horizontal="left" wrapText="1"/>
    </xf>
    <xf numFmtId="0" fontId="3" fillId="4" borderId="1" xfId="0" applyNumberFormat="1" applyFont="1" applyFill="1" applyBorder="1" applyAlignment="1">
      <alignment horizontal="center" vertical="center"/>
    </xf>
    <xf numFmtId="0" fontId="3" fillId="4" borderId="3" xfId="0" applyNumberFormat="1" applyFont="1" applyFill="1" applyBorder="1" applyAlignment="1">
      <alignment horizontal="center" vertical="center"/>
    </xf>
    <xf numFmtId="0" fontId="3" fillId="4" borderId="2" xfId="0" applyNumberFormat="1" applyFont="1" applyFill="1" applyBorder="1" applyAlignment="1">
      <alignment horizontal="center" vertical="center"/>
    </xf>
  </cellXfs>
  <cellStyles count="4">
    <cellStyle name="Standard" xfId="0" builtinId="0"/>
    <cellStyle name="Standard 2" xfId="2"/>
    <cellStyle name="Standard 6 3 2" xfId="1"/>
    <cellStyle name="Standard 7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fmlaLink="Uebersetzungen!$B$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Uebersetzungen!$B$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168275</xdr:colOff>
      <xdr:row>5</xdr:row>
      <xdr:rowOff>23252</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968875" cy="956702"/>
        </a:xfrm>
        <a:prstGeom prst="rect">
          <a:avLst/>
        </a:prstGeom>
      </xdr:spPr>
    </xdr:pic>
    <xdr:clientData/>
  </xdr:twoCellAnchor>
  <xdr:twoCellAnchor>
    <xdr:from>
      <xdr:col>11</xdr:col>
      <xdr:colOff>180975</xdr:colOff>
      <xdr:row>0</xdr:row>
      <xdr:rowOff>19050</xdr:rowOff>
    </xdr:from>
    <xdr:to>
      <xdr:col>17</xdr:col>
      <xdr:colOff>292125</xdr:colOff>
      <xdr:row>4</xdr:row>
      <xdr:rowOff>145523</xdr:rowOff>
    </xdr:to>
    <xdr:grpSp>
      <xdr:nvGrpSpPr>
        <xdr:cNvPr id="4" name="Gruppieren 3">
          <a:extLst>
            <a:ext uri="{FF2B5EF4-FFF2-40B4-BE49-F238E27FC236}">
              <a16:creationId xmlns:a16="http://schemas.microsoft.com/office/drawing/2014/main" id="{00000000-0008-0000-0000-000002000000}"/>
            </a:ext>
          </a:extLst>
        </xdr:cNvPr>
        <xdr:cNvGrpSpPr/>
      </xdr:nvGrpSpPr>
      <xdr:grpSpPr>
        <a:xfrm>
          <a:off x="4981575" y="19050"/>
          <a:ext cx="2340000" cy="888473"/>
          <a:chOff x="4991100" y="38100"/>
          <a:chExt cx="2400914" cy="888473"/>
        </a:xfrm>
        <a:solidFill>
          <a:srgbClr val="00B0F0"/>
        </a:solidFill>
      </xdr:grpSpPr>
      <xdr:sp macro="" textlink="">
        <xdr:nvSpPr>
          <xdr:cNvPr id="5" name="Rechteck 4">
            <a:extLst>
              <a:ext uri="{FF2B5EF4-FFF2-40B4-BE49-F238E27FC236}">
                <a16:creationId xmlns:a16="http://schemas.microsoft.com/office/drawing/2014/main" id="{00000000-0008-0000-0000-000005000000}"/>
              </a:ext>
            </a:extLst>
          </xdr:cNvPr>
          <xdr:cNvSpPr/>
        </xdr:nvSpPr>
        <xdr:spPr>
          <a:xfrm>
            <a:off x="4991100" y="38100"/>
            <a:ext cx="2400914" cy="888473"/>
          </a:xfrm>
          <a:prstGeom prst="rect">
            <a:avLst/>
          </a:prstGeom>
          <a:grpFill/>
          <a:ln>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de-CH" sz="1400" b="1">
                <a:solidFill>
                  <a:sysClr val="windowText" lastClr="000000"/>
                </a:solidFill>
              </a:rPr>
              <a:t>Sprache/Lingua</a:t>
            </a:r>
          </a:p>
        </xdr:txBody>
      </xdr:sp>
      <mc:AlternateContent xmlns:mc="http://schemas.openxmlformats.org/markup-compatibility/2006">
        <mc:Choice xmlns:a14="http://schemas.microsoft.com/office/drawing/2010/main" Requires="a14">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5627621" y="299412"/>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mc:Choice>
        <mc:Fallback/>
      </mc:AlternateContent>
      <mc:AlternateContent xmlns:mc="http://schemas.openxmlformats.org/markup-compatibility/2006">
        <mc:Choice xmlns:a14="http://schemas.microsoft.com/office/drawing/2010/main" Requires="a14">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5627621" y="485376"/>
                <a:ext cx="1407047" cy="20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Rumantsch Grischun</a:t>
                </a:r>
              </a:p>
            </xdr:txBody>
          </xdr:sp>
        </mc:Choice>
        <mc:Fallback/>
      </mc:AlternateContent>
      <mc:AlternateContent xmlns:mc="http://schemas.openxmlformats.org/markup-compatibility/2006">
        <mc:Choice xmlns:a14="http://schemas.microsoft.com/office/drawing/2010/main" Requires="a14">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5627621" y="650673"/>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Italiano</a:t>
                </a:r>
              </a:p>
            </xdr:txBody>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206375</xdr:colOff>
      <xdr:row>5</xdr:row>
      <xdr:rowOff>13727</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968875" cy="947177"/>
        </a:xfrm>
        <a:prstGeom prst="rect">
          <a:avLst/>
        </a:prstGeom>
      </xdr:spPr>
    </xdr:pic>
    <xdr:clientData/>
  </xdr:twoCellAnchor>
  <xdr:twoCellAnchor>
    <xdr:from>
      <xdr:col>13</xdr:col>
      <xdr:colOff>47625</xdr:colOff>
      <xdr:row>0</xdr:row>
      <xdr:rowOff>19050</xdr:rowOff>
    </xdr:from>
    <xdr:to>
      <xdr:col>20</xdr:col>
      <xdr:colOff>263550</xdr:colOff>
      <xdr:row>4</xdr:row>
      <xdr:rowOff>145523</xdr:rowOff>
    </xdr:to>
    <xdr:grpSp>
      <xdr:nvGrpSpPr>
        <xdr:cNvPr id="4" name="Gruppieren 3">
          <a:extLst>
            <a:ext uri="{FF2B5EF4-FFF2-40B4-BE49-F238E27FC236}">
              <a16:creationId xmlns:a16="http://schemas.microsoft.com/office/drawing/2014/main" id="{00000000-0008-0000-0000-000002000000}"/>
            </a:ext>
          </a:extLst>
        </xdr:cNvPr>
        <xdr:cNvGrpSpPr/>
      </xdr:nvGrpSpPr>
      <xdr:grpSpPr>
        <a:xfrm>
          <a:off x="6096000" y="19050"/>
          <a:ext cx="3216300" cy="888473"/>
          <a:chOff x="4991100" y="38100"/>
          <a:chExt cx="2400914" cy="888473"/>
        </a:xfrm>
        <a:solidFill>
          <a:srgbClr val="00B0F0"/>
        </a:solidFill>
      </xdr:grpSpPr>
      <xdr:sp macro="" textlink="">
        <xdr:nvSpPr>
          <xdr:cNvPr id="5" name="Rechteck 4">
            <a:extLst>
              <a:ext uri="{FF2B5EF4-FFF2-40B4-BE49-F238E27FC236}">
                <a16:creationId xmlns:a16="http://schemas.microsoft.com/office/drawing/2014/main" id="{00000000-0008-0000-0000-000005000000}"/>
              </a:ext>
            </a:extLst>
          </xdr:cNvPr>
          <xdr:cNvSpPr/>
        </xdr:nvSpPr>
        <xdr:spPr>
          <a:xfrm>
            <a:off x="4991100" y="38100"/>
            <a:ext cx="2400914" cy="888473"/>
          </a:xfrm>
          <a:prstGeom prst="rect">
            <a:avLst/>
          </a:prstGeom>
          <a:grpFill/>
          <a:ln>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de-CH" sz="1400" b="1">
                <a:solidFill>
                  <a:sysClr val="windowText" lastClr="000000"/>
                </a:solidFill>
              </a:rPr>
              <a:t>Sprache/Lingua</a:t>
            </a:r>
          </a:p>
        </xdr:txBody>
      </xdr:sp>
      <mc:AlternateContent xmlns:mc="http://schemas.openxmlformats.org/markup-compatibility/2006">
        <mc:Choice xmlns:a14="http://schemas.microsoft.com/office/drawing/2010/main" Requires="a14">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000-000001040000}"/>
                  </a:ext>
                </a:extLst>
              </xdr:cNvPr>
              <xdr:cNvSpPr/>
            </xdr:nvSpPr>
            <xdr:spPr bwMode="auto">
              <a:xfrm>
                <a:off x="5627621" y="299412"/>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mc:Choice>
        <mc:Fallback/>
      </mc:AlternateContent>
      <mc:AlternateContent xmlns:mc="http://schemas.openxmlformats.org/markup-compatibility/2006">
        <mc:Choice xmlns:a14="http://schemas.microsoft.com/office/drawing/2010/main" Requires="a14">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000-000002040000}"/>
                  </a:ext>
                </a:extLst>
              </xdr:cNvPr>
              <xdr:cNvSpPr/>
            </xdr:nvSpPr>
            <xdr:spPr bwMode="auto">
              <a:xfrm>
                <a:off x="5627621" y="485376"/>
                <a:ext cx="1407047" cy="20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Rumantsch Grischun</a:t>
                </a:r>
              </a:p>
            </xdr:txBody>
          </xdr:sp>
        </mc:Choice>
        <mc:Fallback/>
      </mc:AlternateContent>
      <mc:AlternateContent xmlns:mc="http://schemas.openxmlformats.org/markup-compatibility/2006">
        <mc:Choice xmlns:a14="http://schemas.microsoft.com/office/drawing/2010/main" Requires="a14">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000-000003040000}"/>
                  </a:ext>
                </a:extLst>
              </xdr:cNvPr>
              <xdr:cNvSpPr/>
            </xdr:nvSpPr>
            <xdr:spPr bwMode="auto">
              <a:xfrm>
                <a:off x="5627621" y="650673"/>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Italiano</a:t>
                </a:r>
              </a:p>
            </xdr:txBody>
          </xdr:sp>
        </mc:Choice>
        <mc:Fallback/>
      </mc:AlternateContent>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49"/>
  <sheetViews>
    <sheetView showGridLines="0" tabSelected="1" zoomScaleNormal="100" workbookViewId="0"/>
  </sheetViews>
  <sheetFormatPr baseColWidth="10" defaultRowHeight="9.9499999999999993" customHeight="1" x14ac:dyDescent="0.2"/>
  <cols>
    <col min="1" max="1" width="15.83203125" style="7" customWidth="1"/>
    <col min="2" max="2" width="6.5" style="1" customWidth="1"/>
    <col min="3" max="3" width="9.6640625" style="1" customWidth="1"/>
    <col min="4" max="44" width="6.5" style="1" customWidth="1"/>
    <col min="45" max="45" width="7.5" style="1" customWidth="1"/>
    <col min="46" max="47" width="7.1640625" style="1" customWidth="1"/>
    <col min="48" max="16384" width="12" style="1"/>
  </cols>
  <sheetData>
    <row r="1" spans="1:47" s="35" customFormat="1" ht="12.75" x14ac:dyDescent="0.2"/>
    <row r="2" spans="1:47" s="35" customFormat="1" ht="15.75" x14ac:dyDescent="0.25">
      <c r="B2" s="23"/>
      <c r="C2" s="36"/>
      <c r="D2" s="36"/>
    </row>
    <row r="3" spans="1:47" s="35" customFormat="1" ht="15.75" x14ac:dyDescent="0.25">
      <c r="B3" s="23"/>
      <c r="C3" s="36"/>
      <c r="D3" s="36"/>
    </row>
    <row r="4" spans="1:47" s="35" customFormat="1" ht="15.75" x14ac:dyDescent="0.25">
      <c r="B4" s="23"/>
      <c r="C4" s="36"/>
      <c r="D4" s="36"/>
    </row>
    <row r="5" spans="1:47" s="35" customFormat="1" ht="12.75" x14ac:dyDescent="0.2"/>
    <row r="6" spans="1:47" s="22" customFormat="1" ht="12.75" x14ac:dyDescent="0.2">
      <c r="A6" s="24"/>
      <c r="B6" s="24"/>
      <c r="C6" s="24"/>
      <c r="D6" s="24"/>
      <c r="E6" s="24"/>
      <c r="F6" s="24"/>
      <c r="G6" s="24"/>
      <c r="H6" s="24"/>
      <c r="I6" s="24"/>
    </row>
    <row r="7" spans="1:47" s="24" customFormat="1" ht="15.75" x14ac:dyDescent="0.25">
      <c r="A7" s="88" t="str">
        <f>VLOOKUP("&lt;Fachbereich&gt;",Uebersetzungen!$B$3:$E$31,Uebersetzungen!$B$2+1,FALSE)</f>
        <v>Daten &amp; Statistik</v>
      </c>
      <c r="B7" s="88"/>
      <c r="C7" s="88"/>
      <c r="D7" s="88"/>
      <c r="E7" s="25"/>
      <c r="F7" s="25"/>
      <c r="G7" s="25"/>
      <c r="H7" s="25"/>
      <c r="I7" s="25"/>
    </row>
    <row r="8" spans="1:47" ht="15" x14ac:dyDescent="0.25">
      <c r="A8" s="2"/>
      <c r="B8" s="3"/>
      <c r="C8" s="3"/>
      <c r="D8" s="3"/>
      <c r="E8" s="3"/>
      <c r="F8" s="3"/>
      <c r="G8" s="3"/>
      <c r="H8" s="3"/>
      <c r="I8" s="3"/>
      <c r="J8" s="3"/>
      <c r="K8" s="3"/>
      <c r="L8" s="3"/>
      <c r="M8" s="3"/>
      <c r="W8" s="3"/>
      <c r="X8" s="3"/>
      <c r="Y8" s="3"/>
      <c r="Z8" s="3"/>
      <c r="AA8" s="3"/>
      <c r="AB8" s="3"/>
      <c r="AC8" s="3"/>
      <c r="AD8" s="3"/>
      <c r="AE8" s="3"/>
      <c r="AF8" s="3"/>
      <c r="AG8" s="3"/>
      <c r="AH8" s="3"/>
      <c r="AI8" s="3"/>
      <c r="AJ8" s="3"/>
      <c r="AK8" s="3"/>
      <c r="AL8" s="3"/>
      <c r="AM8" s="3"/>
      <c r="AN8" s="3"/>
      <c r="AO8" s="3"/>
      <c r="AP8" s="3"/>
      <c r="AQ8" s="3"/>
      <c r="AR8" s="3"/>
      <c r="AS8" s="3"/>
    </row>
    <row r="9" spans="1:47" s="4" customFormat="1" ht="14.1" customHeight="1" x14ac:dyDescent="0.2">
      <c r="A9" s="26" t="str">
        <f>VLOOKUP("&lt;Titel&gt;",Uebersetzungen!$B$3:$E$31,Uebersetzungen!$B$2+1,FALSE)</f>
        <v>Kantonale Parlamentswahlen Graubünden: Mandate seit 1919</v>
      </c>
      <c r="B9" s="5"/>
      <c r="C9" s="5"/>
      <c r="D9" s="5"/>
      <c r="E9" s="5"/>
      <c r="F9" s="5"/>
      <c r="G9" s="5"/>
      <c r="H9" s="5"/>
      <c r="I9" s="5"/>
      <c r="J9" s="5"/>
      <c r="K9" s="5"/>
      <c r="L9" s="5"/>
      <c r="M9" s="6"/>
      <c r="N9" s="6"/>
      <c r="O9" s="6"/>
      <c r="P9" s="6"/>
      <c r="Q9" s="6"/>
      <c r="R9" s="6"/>
      <c r="S9" s="6"/>
      <c r="T9" s="6"/>
      <c r="U9" s="6"/>
      <c r="V9" s="6"/>
      <c r="W9" s="5"/>
      <c r="X9" s="5"/>
      <c r="Y9" s="5"/>
      <c r="Z9" s="5"/>
      <c r="AA9" s="5"/>
      <c r="AB9" s="5"/>
      <c r="AC9" s="5"/>
      <c r="AD9" s="5"/>
      <c r="AE9" s="5"/>
      <c r="AF9" s="5"/>
      <c r="AG9" s="5"/>
      <c r="AH9" s="5"/>
      <c r="AI9" s="5"/>
      <c r="AJ9" s="5"/>
      <c r="AK9" s="5"/>
      <c r="AL9" s="5"/>
      <c r="AM9" s="5"/>
      <c r="AN9" s="5"/>
      <c r="AO9" s="5"/>
      <c r="AP9" s="5"/>
      <c r="AQ9" s="5"/>
      <c r="AR9" s="5"/>
      <c r="AS9" s="5"/>
    </row>
    <row r="10" spans="1:47" ht="14.25" x14ac:dyDescent="0.2">
      <c r="V10" s="8"/>
    </row>
    <row r="11" spans="1:47" s="4" customFormat="1" ht="18" customHeight="1" x14ac:dyDescent="0.2">
      <c r="A11" s="17" t="str">
        <f>VLOOKUP("&lt;SpaltenTitel_1&gt;",Uebersetzungen!$B$3:$E$31,Uebersetzungen!$B$2+1,FALSE)</f>
        <v>Partei</v>
      </c>
      <c r="B11" s="19">
        <v>1919</v>
      </c>
      <c r="C11" s="19">
        <v>1921</v>
      </c>
      <c r="D11" s="19">
        <v>1923</v>
      </c>
      <c r="E11" s="19">
        <v>1925</v>
      </c>
      <c r="F11" s="19">
        <v>1927</v>
      </c>
      <c r="G11" s="19">
        <v>1929</v>
      </c>
      <c r="H11" s="19">
        <v>1931</v>
      </c>
      <c r="I11" s="19">
        <v>1933</v>
      </c>
      <c r="J11" s="19">
        <v>1935</v>
      </c>
      <c r="K11" s="19">
        <v>1937</v>
      </c>
      <c r="L11" s="19">
        <v>1939</v>
      </c>
      <c r="M11" s="19">
        <v>1941</v>
      </c>
      <c r="N11" s="19">
        <v>1943</v>
      </c>
      <c r="O11" s="19">
        <v>1945</v>
      </c>
      <c r="P11" s="19">
        <v>1947</v>
      </c>
      <c r="Q11" s="19">
        <v>1949</v>
      </c>
      <c r="R11" s="19">
        <v>1951</v>
      </c>
      <c r="S11" s="19">
        <v>1953</v>
      </c>
      <c r="T11" s="19">
        <v>1955</v>
      </c>
      <c r="U11" s="19">
        <v>1957</v>
      </c>
      <c r="V11" s="19">
        <v>1959</v>
      </c>
      <c r="W11" s="19">
        <v>1961</v>
      </c>
      <c r="X11" s="19">
        <v>1963</v>
      </c>
      <c r="Y11" s="19">
        <v>1965</v>
      </c>
      <c r="Z11" s="19">
        <v>1967</v>
      </c>
      <c r="AA11" s="19">
        <v>1969</v>
      </c>
      <c r="AB11" s="19">
        <v>1971</v>
      </c>
      <c r="AC11" s="19">
        <v>1973</v>
      </c>
      <c r="AD11" s="19">
        <v>1975</v>
      </c>
      <c r="AE11" s="19">
        <v>1977</v>
      </c>
      <c r="AF11" s="19">
        <v>1979</v>
      </c>
      <c r="AG11" s="19">
        <v>1981</v>
      </c>
      <c r="AH11" s="19">
        <v>1983</v>
      </c>
      <c r="AI11" s="19">
        <v>1985</v>
      </c>
      <c r="AJ11" s="19">
        <v>1987</v>
      </c>
      <c r="AK11" s="19">
        <v>1989</v>
      </c>
      <c r="AL11" s="19">
        <v>1991</v>
      </c>
      <c r="AM11" s="19">
        <v>1994</v>
      </c>
      <c r="AN11" s="19">
        <v>1997</v>
      </c>
      <c r="AO11" s="19">
        <v>2000</v>
      </c>
      <c r="AP11" s="19">
        <v>2003</v>
      </c>
      <c r="AQ11" s="19">
        <v>2006</v>
      </c>
      <c r="AR11" s="19">
        <v>2010</v>
      </c>
      <c r="AS11" s="19" t="s">
        <v>27</v>
      </c>
      <c r="AT11" s="19">
        <v>2018</v>
      </c>
      <c r="AU11" s="19">
        <v>2022</v>
      </c>
    </row>
    <row r="12" spans="1:47" ht="14.25" x14ac:dyDescent="0.2">
      <c r="A12" s="18" t="str">
        <f>VLOOKUP("&lt;Zeilentitel_1&gt;",Uebersetzungen!$B$3:$E$31,Uebersetzungen!$B$2+1,FALSE)</f>
        <v>FDP</v>
      </c>
      <c r="B12" s="20">
        <v>46</v>
      </c>
      <c r="C12" s="20">
        <v>49</v>
      </c>
      <c r="D12" s="20">
        <v>55</v>
      </c>
      <c r="E12" s="20">
        <v>54</v>
      </c>
      <c r="F12" s="20">
        <v>48</v>
      </c>
      <c r="G12" s="20">
        <v>47</v>
      </c>
      <c r="H12" s="20">
        <v>50</v>
      </c>
      <c r="I12" s="20">
        <v>44</v>
      </c>
      <c r="J12" s="20">
        <v>30</v>
      </c>
      <c r="K12" s="20">
        <v>29</v>
      </c>
      <c r="L12" s="20">
        <v>21</v>
      </c>
      <c r="M12" s="20">
        <v>17</v>
      </c>
      <c r="N12" s="20">
        <v>16</v>
      </c>
      <c r="O12" s="20">
        <v>13</v>
      </c>
      <c r="P12" s="20">
        <v>14</v>
      </c>
      <c r="Q12" s="20">
        <v>20</v>
      </c>
      <c r="R12" s="20">
        <v>24</v>
      </c>
      <c r="S12" s="20">
        <v>29</v>
      </c>
      <c r="T12" s="20">
        <v>28</v>
      </c>
      <c r="U12" s="20">
        <v>28</v>
      </c>
      <c r="V12" s="20">
        <v>24</v>
      </c>
      <c r="W12" s="20">
        <v>29</v>
      </c>
      <c r="X12" s="20">
        <v>31</v>
      </c>
      <c r="Y12" s="20">
        <v>28</v>
      </c>
      <c r="Z12" s="20">
        <v>29</v>
      </c>
      <c r="AA12" s="20">
        <v>32</v>
      </c>
      <c r="AB12" s="20">
        <v>29</v>
      </c>
      <c r="AC12" s="20">
        <v>31</v>
      </c>
      <c r="AD12" s="20">
        <v>31</v>
      </c>
      <c r="AE12" s="20">
        <v>27</v>
      </c>
      <c r="AF12" s="20">
        <v>28</v>
      </c>
      <c r="AG12" s="20">
        <v>28</v>
      </c>
      <c r="AH12" s="20">
        <v>28</v>
      </c>
      <c r="AI12" s="20">
        <v>28</v>
      </c>
      <c r="AJ12" s="20">
        <v>30</v>
      </c>
      <c r="AK12" s="20">
        <v>27</v>
      </c>
      <c r="AL12" s="20">
        <v>24</v>
      </c>
      <c r="AM12" s="20">
        <v>26</v>
      </c>
      <c r="AN12" s="20">
        <v>27</v>
      </c>
      <c r="AO12" s="20">
        <v>34</v>
      </c>
      <c r="AP12" s="20">
        <v>29</v>
      </c>
      <c r="AQ12" s="20">
        <v>33</v>
      </c>
      <c r="AR12" s="20">
        <v>38</v>
      </c>
      <c r="AS12" s="20">
        <v>33</v>
      </c>
      <c r="AT12" s="20">
        <v>36</v>
      </c>
      <c r="AU12" s="20">
        <v>27</v>
      </c>
    </row>
    <row r="13" spans="1:47" ht="14.25" x14ac:dyDescent="0.2">
      <c r="A13" s="18" t="str">
        <f>VLOOKUP("&lt;Zeilentitel_2&gt;",Uebersetzungen!$B$3:$E$31,Uebersetzungen!$B$2+1,FALSE)</f>
        <v>Die Mitte</v>
      </c>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v>34</v>
      </c>
    </row>
    <row r="14" spans="1:47" ht="14.25" x14ac:dyDescent="0.2">
      <c r="A14" s="18" t="str">
        <f>VLOOKUP("&lt;Zeilentitel_3&gt;",Uebersetzungen!$B$3:$E$31,Uebersetzungen!$B$2+1,FALSE)</f>
        <v>CVP</v>
      </c>
      <c r="B14" s="20">
        <v>31</v>
      </c>
      <c r="C14" s="20">
        <v>30</v>
      </c>
      <c r="D14" s="20">
        <v>26</v>
      </c>
      <c r="E14" s="20">
        <v>27</v>
      </c>
      <c r="F14" s="20">
        <v>28</v>
      </c>
      <c r="G14" s="20">
        <v>25</v>
      </c>
      <c r="H14" s="20">
        <v>29</v>
      </c>
      <c r="I14" s="20">
        <v>29</v>
      </c>
      <c r="J14" s="20">
        <v>30</v>
      </c>
      <c r="K14" s="20">
        <v>27</v>
      </c>
      <c r="L14" s="20">
        <v>26</v>
      </c>
      <c r="M14" s="20">
        <v>24</v>
      </c>
      <c r="N14" s="20">
        <v>30</v>
      </c>
      <c r="O14" s="20">
        <v>31</v>
      </c>
      <c r="P14" s="20">
        <v>29</v>
      </c>
      <c r="Q14" s="20">
        <v>28</v>
      </c>
      <c r="R14" s="20">
        <v>26</v>
      </c>
      <c r="S14" s="20">
        <v>28</v>
      </c>
      <c r="T14" s="20">
        <v>25</v>
      </c>
      <c r="U14" s="20">
        <v>25</v>
      </c>
      <c r="V14" s="20">
        <v>26</v>
      </c>
      <c r="W14" s="20">
        <v>30</v>
      </c>
      <c r="X14" s="20">
        <v>30</v>
      </c>
      <c r="Y14" s="20">
        <v>39</v>
      </c>
      <c r="Z14" s="20">
        <v>40</v>
      </c>
      <c r="AA14" s="20">
        <v>36</v>
      </c>
      <c r="AB14" s="20">
        <v>38</v>
      </c>
      <c r="AC14" s="20">
        <v>43</v>
      </c>
      <c r="AD14" s="20">
        <v>39</v>
      </c>
      <c r="AE14" s="20">
        <v>41</v>
      </c>
      <c r="AF14" s="20">
        <v>39</v>
      </c>
      <c r="AG14" s="20">
        <v>39</v>
      </c>
      <c r="AH14" s="20">
        <v>36</v>
      </c>
      <c r="AI14" s="20">
        <v>40</v>
      </c>
      <c r="AJ14" s="20">
        <v>38</v>
      </c>
      <c r="AK14" s="20">
        <v>38</v>
      </c>
      <c r="AL14" s="20">
        <v>39</v>
      </c>
      <c r="AM14" s="20">
        <v>38</v>
      </c>
      <c r="AN14" s="20">
        <v>38</v>
      </c>
      <c r="AO14" s="20">
        <v>37</v>
      </c>
      <c r="AP14" s="20">
        <v>40</v>
      </c>
      <c r="AQ14" s="20">
        <v>35</v>
      </c>
      <c r="AR14" s="20">
        <v>33</v>
      </c>
      <c r="AS14" s="20">
        <v>31</v>
      </c>
      <c r="AT14" s="20">
        <v>30</v>
      </c>
      <c r="AU14" s="20"/>
    </row>
    <row r="15" spans="1:47" ht="14.25" x14ac:dyDescent="0.2">
      <c r="A15" s="18" t="str">
        <f>VLOOKUP("&lt;Zeilentitel_4&gt;",Uebersetzungen!$B$3:$E$31,Uebersetzungen!$B$2+1,FALSE)</f>
        <v>SP</v>
      </c>
      <c r="B15" s="20">
        <v>1</v>
      </c>
      <c r="C15" s="20">
        <v>3</v>
      </c>
      <c r="D15" s="20">
        <v>4</v>
      </c>
      <c r="E15" s="20">
        <v>3</v>
      </c>
      <c r="F15" s="20">
        <v>2</v>
      </c>
      <c r="G15" s="20">
        <v>3</v>
      </c>
      <c r="H15" s="20">
        <v>6</v>
      </c>
      <c r="I15" s="20">
        <v>5</v>
      </c>
      <c r="J15" s="20">
        <v>7</v>
      </c>
      <c r="K15" s="20">
        <v>6</v>
      </c>
      <c r="L15" s="20">
        <v>9</v>
      </c>
      <c r="M15" s="20">
        <v>6</v>
      </c>
      <c r="N15" s="20">
        <v>6</v>
      </c>
      <c r="O15" s="20">
        <v>7</v>
      </c>
      <c r="P15" s="20">
        <v>7</v>
      </c>
      <c r="Q15" s="20">
        <v>6</v>
      </c>
      <c r="R15" s="20">
        <v>7</v>
      </c>
      <c r="S15" s="20">
        <v>6</v>
      </c>
      <c r="T15" s="20">
        <v>7</v>
      </c>
      <c r="U15" s="20">
        <v>7</v>
      </c>
      <c r="V15" s="20">
        <v>7</v>
      </c>
      <c r="W15" s="20">
        <v>7</v>
      </c>
      <c r="X15" s="20">
        <v>7</v>
      </c>
      <c r="Y15" s="20">
        <v>7</v>
      </c>
      <c r="Z15" s="20">
        <v>6</v>
      </c>
      <c r="AA15" s="20">
        <v>8</v>
      </c>
      <c r="AB15" s="20">
        <v>8</v>
      </c>
      <c r="AC15" s="20">
        <v>8</v>
      </c>
      <c r="AD15" s="20">
        <v>7</v>
      </c>
      <c r="AE15" s="20">
        <v>8</v>
      </c>
      <c r="AF15" s="20">
        <v>9</v>
      </c>
      <c r="AG15" s="20">
        <v>10</v>
      </c>
      <c r="AH15" s="20">
        <v>9</v>
      </c>
      <c r="AI15" s="20">
        <v>5</v>
      </c>
      <c r="AJ15" s="20">
        <v>10</v>
      </c>
      <c r="AK15" s="20">
        <v>6</v>
      </c>
      <c r="AL15" s="20">
        <v>8</v>
      </c>
      <c r="AM15" s="20">
        <v>7</v>
      </c>
      <c r="AN15" s="20">
        <v>10</v>
      </c>
      <c r="AO15" s="20">
        <v>13</v>
      </c>
      <c r="AP15" s="20">
        <v>13</v>
      </c>
      <c r="AQ15" s="20">
        <v>14</v>
      </c>
      <c r="AR15" s="20">
        <v>12</v>
      </c>
      <c r="AS15" s="20">
        <v>15</v>
      </c>
      <c r="AT15" s="20">
        <v>18</v>
      </c>
      <c r="AU15" s="20">
        <v>27</v>
      </c>
    </row>
    <row r="16" spans="1:47" ht="14.25" x14ac:dyDescent="0.2">
      <c r="A16" s="18" t="str">
        <f>VLOOKUP("&lt;Zeilentitel_5&gt;",Uebersetzungen!$B$3:$E$31,Uebersetzungen!$B$2+1,FALSE)</f>
        <v>SVP</v>
      </c>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v>38</v>
      </c>
      <c r="AC16" s="20">
        <v>38</v>
      </c>
      <c r="AD16" s="20">
        <v>42</v>
      </c>
      <c r="AE16" s="20">
        <v>43</v>
      </c>
      <c r="AF16" s="20">
        <v>42</v>
      </c>
      <c r="AG16" s="20">
        <v>40</v>
      </c>
      <c r="AH16" s="20">
        <v>42</v>
      </c>
      <c r="AI16" s="20">
        <v>42</v>
      </c>
      <c r="AJ16" s="20">
        <v>40</v>
      </c>
      <c r="AK16" s="20">
        <v>41</v>
      </c>
      <c r="AL16" s="20">
        <v>42</v>
      </c>
      <c r="AM16" s="20">
        <v>41</v>
      </c>
      <c r="AN16" s="20">
        <v>40</v>
      </c>
      <c r="AO16" s="20">
        <v>33</v>
      </c>
      <c r="AP16" s="20">
        <v>33</v>
      </c>
      <c r="AQ16" s="20">
        <v>32</v>
      </c>
      <c r="AR16" s="20">
        <v>4</v>
      </c>
      <c r="AS16" s="20">
        <v>9</v>
      </c>
      <c r="AT16" s="20">
        <v>9</v>
      </c>
      <c r="AU16" s="20">
        <v>25</v>
      </c>
    </row>
    <row r="17" spans="1:47" ht="14.25" x14ac:dyDescent="0.2">
      <c r="A17" s="18" t="str">
        <f>VLOOKUP("&lt;Zeilentitel_6&gt;",Uebersetzungen!$B$3:$E$31,Uebersetzungen!$B$2+1,FALSE)</f>
        <v>BDP</v>
      </c>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v>26</v>
      </c>
      <c r="AS17" s="20">
        <v>28</v>
      </c>
      <c r="AT17" s="20">
        <v>23</v>
      </c>
      <c r="AU17" s="20"/>
    </row>
    <row r="18" spans="1:47" ht="14.25" x14ac:dyDescent="0.2">
      <c r="A18" s="18" t="str">
        <f>VLOOKUP("&lt;Zeilentitel_7&gt;",Uebersetzungen!$B$3:$E$31,Uebersetzungen!$B$2+1,FALSE)</f>
        <v>LdU</v>
      </c>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v>1</v>
      </c>
      <c r="AE18" s="20">
        <v>1</v>
      </c>
      <c r="AF18" s="20">
        <v>1</v>
      </c>
      <c r="AG18" s="20">
        <v>1</v>
      </c>
      <c r="AH18" s="20">
        <v>1</v>
      </c>
      <c r="AI18" s="20">
        <v>1</v>
      </c>
      <c r="AJ18" s="20"/>
      <c r="AK18" s="20"/>
      <c r="AL18" s="20"/>
      <c r="AM18" s="20"/>
      <c r="AN18" s="20"/>
      <c r="AO18" s="20"/>
      <c r="AP18" s="20"/>
      <c r="AQ18" s="20"/>
      <c r="AR18" s="20"/>
      <c r="AS18" s="20"/>
      <c r="AT18" s="20"/>
      <c r="AU18" s="20"/>
    </row>
    <row r="19" spans="1:47" ht="14.25" x14ac:dyDescent="0.2">
      <c r="A19" s="18" t="str">
        <f>VLOOKUP("&lt;Zeilentitel_8&gt;",Uebersetzungen!$B$3:$E$31,Uebersetzungen!$B$2+1,FALSE)</f>
        <v>CSP</v>
      </c>
      <c r="B19" s="20">
        <v>1</v>
      </c>
      <c r="C19" s="20">
        <v>2</v>
      </c>
      <c r="D19" s="20">
        <v>1</v>
      </c>
      <c r="E19" s="20"/>
      <c r="F19" s="20">
        <v>1</v>
      </c>
      <c r="G19" s="20">
        <v>1</v>
      </c>
      <c r="H19" s="20">
        <v>1</v>
      </c>
      <c r="I19" s="20">
        <v>1</v>
      </c>
      <c r="J19" s="20">
        <v>1</v>
      </c>
      <c r="K19" s="20">
        <v>1</v>
      </c>
      <c r="L19" s="20">
        <v>1</v>
      </c>
      <c r="M19" s="20">
        <v>2</v>
      </c>
      <c r="N19" s="20"/>
      <c r="O19" s="20">
        <v>1</v>
      </c>
      <c r="P19" s="20">
        <v>1</v>
      </c>
      <c r="Q19" s="20"/>
      <c r="R19" s="20">
        <v>5</v>
      </c>
      <c r="S19" s="20">
        <v>6</v>
      </c>
      <c r="T19" s="20">
        <v>7</v>
      </c>
      <c r="U19" s="20">
        <v>7</v>
      </c>
      <c r="V19" s="20">
        <v>7</v>
      </c>
      <c r="W19" s="20">
        <v>9</v>
      </c>
      <c r="X19" s="20">
        <v>8</v>
      </c>
      <c r="Y19" s="20"/>
      <c r="Z19" s="20"/>
      <c r="AA19" s="20"/>
      <c r="AB19" s="20"/>
      <c r="AC19" s="20"/>
      <c r="AD19" s="20"/>
      <c r="AE19" s="20"/>
      <c r="AF19" s="20"/>
      <c r="AG19" s="20"/>
      <c r="AH19" s="20"/>
      <c r="AI19" s="20"/>
      <c r="AJ19" s="20"/>
      <c r="AK19" s="20">
        <v>3</v>
      </c>
      <c r="AL19" s="20">
        <v>3</v>
      </c>
      <c r="AM19" s="20">
        <v>3</v>
      </c>
      <c r="AN19" s="20">
        <v>3</v>
      </c>
      <c r="AO19" s="20"/>
      <c r="AP19" s="20"/>
      <c r="AQ19" s="20"/>
      <c r="AR19" s="20"/>
      <c r="AS19" s="20"/>
      <c r="AT19" s="20"/>
      <c r="AU19" s="20"/>
    </row>
    <row r="20" spans="1:47" ht="14.25" x14ac:dyDescent="0.2">
      <c r="A20" s="18" t="str">
        <f>VLOOKUP("&lt;Zeilentitel_9&gt;",Uebersetzungen!$B$3:$E$31,Uebersetzungen!$B$2+1,FALSE)</f>
        <v>GLP</v>
      </c>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v>2</v>
      </c>
      <c r="AS20" s="20">
        <v>2</v>
      </c>
      <c r="AT20" s="20">
        <v>3</v>
      </c>
      <c r="AU20" s="20">
        <v>7</v>
      </c>
    </row>
    <row r="21" spans="1:47" ht="14.25" x14ac:dyDescent="0.2">
      <c r="A21" s="18" t="str">
        <f>VLOOKUP("&lt;Zeilentitel_10&gt;",Uebersetzungen!$B$3:$E$31,Uebersetzungen!$B$2+1,FALSE)</f>
        <v>DSP</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v>4</v>
      </c>
      <c r="AL21" s="20">
        <v>2</v>
      </c>
      <c r="AM21" s="20">
        <v>2</v>
      </c>
      <c r="AN21" s="20">
        <v>1</v>
      </c>
      <c r="AO21" s="20">
        <v>1</v>
      </c>
      <c r="AP21" s="20">
        <v>1</v>
      </c>
      <c r="AQ21" s="20">
        <v>1</v>
      </c>
      <c r="AR21" s="20"/>
      <c r="AS21" s="20"/>
      <c r="AT21" s="20"/>
      <c r="AU21" s="20"/>
    </row>
    <row r="22" spans="1:47" ht="14.25" x14ac:dyDescent="0.2">
      <c r="A22" s="18" t="str">
        <f>VLOOKUP("&lt;Zeilentitel_11&gt;",Uebersetzungen!$B$3:$E$31,Uebersetzungen!$B$2+1,FALSE)</f>
        <v>FGA</v>
      </c>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v>1</v>
      </c>
      <c r="AM22" s="20"/>
      <c r="AN22" s="20"/>
      <c r="AO22" s="20"/>
      <c r="AP22" s="20"/>
      <c r="AQ22" s="20"/>
      <c r="AR22" s="20"/>
      <c r="AS22" s="20"/>
      <c r="AT22" s="20"/>
      <c r="AU22" s="20"/>
    </row>
    <row r="23" spans="1:47" ht="14.25" x14ac:dyDescent="0.2">
      <c r="A23" s="18" t="str">
        <f>VLOOKUP("&lt;Zeilentitel_12&gt;",Uebersetzungen!$B$3:$E$31,Uebersetzungen!$B$2+1,FALSE)</f>
        <v>Dem.</v>
      </c>
      <c r="B23" s="20">
        <v>4</v>
      </c>
      <c r="C23" s="20">
        <v>5</v>
      </c>
      <c r="D23" s="20">
        <v>4</v>
      </c>
      <c r="E23" s="20">
        <v>4</v>
      </c>
      <c r="F23" s="20">
        <v>8</v>
      </c>
      <c r="G23" s="20">
        <v>12</v>
      </c>
      <c r="H23" s="20">
        <v>12</v>
      </c>
      <c r="I23" s="20">
        <v>17</v>
      </c>
      <c r="J23" s="20">
        <v>27</v>
      </c>
      <c r="K23" s="20">
        <v>33</v>
      </c>
      <c r="L23" s="20">
        <v>40</v>
      </c>
      <c r="M23" s="20">
        <v>44</v>
      </c>
      <c r="N23" s="20">
        <v>40</v>
      </c>
      <c r="O23" s="20">
        <v>43</v>
      </c>
      <c r="P23" s="20">
        <v>43</v>
      </c>
      <c r="Q23" s="20">
        <v>40</v>
      </c>
      <c r="R23" s="20">
        <v>38</v>
      </c>
      <c r="S23" s="20">
        <v>32</v>
      </c>
      <c r="T23" s="20">
        <v>33</v>
      </c>
      <c r="U23" s="20">
        <v>33</v>
      </c>
      <c r="V23" s="20">
        <v>36</v>
      </c>
      <c r="W23" s="20">
        <v>37</v>
      </c>
      <c r="X23" s="20">
        <v>36</v>
      </c>
      <c r="Y23" s="20">
        <v>39</v>
      </c>
      <c r="Z23" s="20">
        <v>38</v>
      </c>
      <c r="AA23" s="20">
        <v>37</v>
      </c>
      <c r="AB23" s="20"/>
      <c r="AC23" s="20"/>
      <c r="AD23" s="20"/>
      <c r="AE23" s="20"/>
      <c r="AF23" s="20"/>
      <c r="AG23" s="20"/>
      <c r="AH23" s="20"/>
      <c r="AI23" s="20"/>
      <c r="AJ23" s="20"/>
      <c r="AK23" s="20"/>
      <c r="AL23" s="20"/>
      <c r="AM23" s="20"/>
      <c r="AN23" s="20"/>
      <c r="AO23" s="20"/>
      <c r="AP23" s="20"/>
      <c r="AQ23" s="20"/>
      <c r="AR23" s="20"/>
      <c r="AS23" s="20"/>
      <c r="AT23" s="20"/>
      <c r="AU23" s="20"/>
    </row>
    <row r="24" spans="1:47" ht="14.25" x14ac:dyDescent="0.2">
      <c r="A24" s="18" t="str">
        <f>VLOOKUP("&lt;Zeilentitel_13&gt;",Uebersetzungen!$B$3:$E$31,Uebersetzungen!$B$2+1,FALSE)</f>
        <v>Grüt</v>
      </c>
      <c r="B24" s="20">
        <v>3</v>
      </c>
      <c r="C24" s="20">
        <v>1</v>
      </c>
      <c r="D24" s="20"/>
      <c r="E24" s="20">
        <v>1</v>
      </c>
      <c r="F24" s="20">
        <v>1</v>
      </c>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row>
    <row r="25" spans="1:47" ht="14.25" x14ac:dyDescent="0.2">
      <c r="A25" s="18" t="str">
        <f>VLOOKUP("&lt;Zeilentitel_14&gt;",Uebersetzungen!$B$3:$E$31,Uebersetzungen!$B$2+1,FALSE)</f>
        <v>Übrige</v>
      </c>
      <c r="B25" s="20">
        <v>2</v>
      </c>
      <c r="C25" s="20">
        <v>3</v>
      </c>
      <c r="D25" s="20">
        <v>2</v>
      </c>
      <c r="E25" s="20">
        <v>2</v>
      </c>
      <c r="F25" s="20">
        <v>4</v>
      </c>
      <c r="G25" s="20">
        <v>3</v>
      </c>
      <c r="H25" s="20">
        <v>1</v>
      </c>
      <c r="I25" s="20">
        <v>2</v>
      </c>
      <c r="J25" s="20">
        <v>4</v>
      </c>
      <c r="K25" s="20">
        <v>3</v>
      </c>
      <c r="L25" s="20">
        <v>2</v>
      </c>
      <c r="M25" s="20">
        <v>5</v>
      </c>
      <c r="N25" s="20">
        <v>6</v>
      </c>
      <c r="O25" s="20">
        <v>3</v>
      </c>
      <c r="P25" s="20">
        <v>4</v>
      </c>
      <c r="Q25" s="20">
        <v>4</v>
      </c>
      <c r="R25" s="20">
        <v>4</v>
      </c>
      <c r="S25" s="20">
        <v>2</v>
      </c>
      <c r="T25" s="20">
        <v>3</v>
      </c>
      <c r="U25" s="20">
        <v>3</v>
      </c>
      <c r="V25" s="20">
        <v>3</v>
      </c>
      <c r="W25" s="20">
        <v>1</v>
      </c>
      <c r="X25" s="20">
        <v>1</v>
      </c>
      <c r="Y25" s="20"/>
      <c r="Z25" s="20"/>
      <c r="AA25" s="20"/>
      <c r="AB25" s="20"/>
      <c r="AC25" s="20"/>
      <c r="AD25" s="20"/>
      <c r="AE25" s="20"/>
      <c r="AF25" s="20">
        <v>1</v>
      </c>
      <c r="AG25" s="20">
        <v>2</v>
      </c>
      <c r="AH25" s="20">
        <v>4</v>
      </c>
      <c r="AI25" s="20">
        <v>4</v>
      </c>
      <c r="AJ25" s="20">
        <v>2</v>
      </c>
      <c r="AK25" s="20">
        <v>1</v>
      </c>
      <c r="AL25" s="20">
        <v>1</v>
      </c>
      <c r="AM25" s="20">
        <v>3</v>
      </c>
      <c r="AN25" s="20">
        <v>1</v>
      </c>
      <c r="AO25" s="20">
        <v>2</v>
      </c>
      <c r="AP25" s="20">
        <v>4</v>
      </c>
      <c r="AQ25" s="20">
        <v>5</v>
      </c>
      <c r="AR25" s="20">
        <v>5</v>
      </c>
      <c r="AS25" s="20">
        <v>2</v>
      </c>
      <c r="AT25" s="20">
        <v>1</v>
      </c>
      <c r="AU25" s="20"/>
    </row>
    <row r="26" spans="1:47" ht="18" customHeight="1" x14ac:dyDescent="0.2">
      <c r="A26" s="37" t="str">
        <f>VLOOKUP("&lt;Zeilentitel_15&gt;",Uebersetzungen!$B$3:$E$31,Uebersetzungen!$B$2+1,FALSE)</f>
        <v>Total</v>
      </c>
      <c r="B26" s="21">
        <v>88</v>
      </c>
      <c r="C26" s="21">
        <v>93</v>
      </c>
      <c r="D26" s="21">
        <v>92</v>
      </c>
      <c r="E26" s="21">
        <v>91</v>
      </c>
      <c r="F26" s="21">
        <v>92</v>
      </c>
      <c r="G26" s="21">
        <v>91</v>
      </c>
      <c r="H26" s="21">
        <v>99</v>
      </c>
      <c r="I26" s="21">
        <v>98</v>
      </c>
      <c r="J26" s="21">
        <v>99</v>
      </c>
      <c r="K26" s="21">
        <v>99</v>
      </c>
      <c r="L26" s="21">
        <v>99</v>
      </c>
      <c r="M26" s="21">
        <v>98</v>
      </c>
      <c r="N26" s="21">
        <v>98</v>
      </c>
      <c r="O26" s="21">
        <v>98</v>
      </c>
      <c r="P26" s="21">
        <v>98</v>
      </c>
      <c r="Q26" s="21">
        <v>98</v>
      </c>
      <c r="R26" s="21">
        <v>104</v>
      </c>
      <c r="S26" s="21">
        <v>103</v>
      </c>
      <c r="T26" s="21">
        <v>103</v>
      </c>
      <c r="U26" s="21">
        <v>103</v>
      </c>
      <c r="V26" s="21">
        <v>103</v>
      </c>
      <c r="W26" s="21">
        <v>113</v>
      </c>
      <c r="X26" s="21">
        <v>113</v>
      </c>
      <c r="Y26" s="21">
        <v>113</v>
      </c>
      <c r="Z26" s="21">
        <v>113</v>
      </c>
      <c r="AA26" s="21">
        <v>113</v>
      </c>
      <c r="AB26" s="21">
        <v>113</v>
      </c>
      <c r="AC26" s="21">
        <v>120</v>
      </c>
      <c r="AD26" s="21">
        <v>120</v>
      </c>
      <c r="AE26" s="21">
        <v>120</v>
      </c>
      <c r="AF26" s="21">
        <v>120</v>
      </c>
      <c r="AG26" s="21">
        <v>120</v>
      </c>
      <c r="AH26" s="21">
        <v>120</v>
      </c>
      <c r="AI26" s="21">
        <v>120</v>
      </c>
      <c r="AJ26" s="21">
        <v>120</v>
      </c>
      <c r="AK26" s="21">
        <v>120</v>
      </c>
      <c r="AL26" s="21">
        <v>120</v>
      </c>
      <c r="AM26" s="21">
        <v>120</v>
      </c>
      <c r="AN26" s="21">
        <v>120</v>
      </c>
      <c r="AO26" s="21">
        <v>120</v>
      </c>
      <c r="AP26" s="21">
        <v>120</v>
      </c>
      <c r="AQ26" s="21">
        <v>120</v>
      </c>
      <c r="AR26" s="21">
        <v>120</v>
      </c>
      <c r="AS26" s="21">
        <v>120</v>
      </c>
      <c r="AT26" s="21">
        <v>120</v>
      </c>
      <c r="AU26" s="21">
        <v>120</v>
      </c>
    </row>
    <row r="27" spans="1:47" ht="14.25" x14ac:dyDescent="0.2">
      <c r="B27" s="10"/>
      <c r="C27" s="10"/>
      <c r="D27" s="10"/>
      <c r="E27" s="10"/>
      <c r="F27" s="10"/>
      <c r="G27" s="10"/>
      <c r="H27" s="10"/>
      <c r="I27" s="10"/>
      <c r="J27" s="10"/>
      <c r="K27" s="10"/>
      <c r="L27" s="10"/>
      <c r="M27" s="11"/>
      <c r="N27" s="11"/>
      <c r="O27" s="11"/>
      <c r="P27" s="11"/>
      <c r="Q27" s="11"/>
      <c r="R27" s="11"/>
      <c r="S27" s="11"/>
      <c r="T27" s="11"/>
      <c r="U27" s="11"/>
      <c r="V27" s="11"/>
      <c r="W27" s="10"/>
      <c r="X27" s="10"/>
      <c r="Y27" s="10"/>
      <c r="Z27" s="10"/>
      <c r="AA27" s="10"/>
      <c r="AB27" s="10"/>
      <c r="AC27" s="10"/>
      <c r="AD27" s="10"/>
      <c r="AE27" s="10"/>
      <c r="AF27" s="10"/>
      <c r="AG27" s="10"/>
      <c r="AH27" s="10"/>
      <c r="AI27" s="10"/>
      <c r="AJ27" s="10"/>
      <c r="AK27" s="10"/>
      <c r="AL27" s="10"/>
      <c r="AM27" s="10"/>
      <c r="AN27" s="10"/>
      <c r="AO27" s="10"/>
      <c r="AP27" s="10"/>
      <c r="AQ27" s="10"/>
      <c r="AR27" s="10"/>
      <c r="AS27" s="10"/>
    </row>
    <row r="28" spans="1:47" ht="27.75" customHeight="1" x14ac:dyDescent="0.2">
      <c r="A28" s="89" t="str">
        <f>VLOOKUP("&lt;Legende_1&gt;",Uebersetzungen!$B$3:$E$52,Uebersetzungen!$B$2+1,FALSE)</f>
        <v>*) Im Kanton Graubünden wurde bei den Grossratswahlen vom 18. Mai 2014 der gewählte BDP-Vertreter im Majorzwahlkreis Suot Tasna gleichzeitig in die Regierung gewählt. In der daraufhin nötigen Nachwahl eroberte die FDP den frei gewordenen Sitz. In der Tabelle ist der Stand am Wahltag der Gesamterneuerungswahlen (18.5.2014) mit dem BDP-Gewählten und nicht das Ergebnis der Nachwahl vom 6. Juli 2014 aufgeführt.</v>
      </c>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10"/>
      <c r="AG28" s="10"/>
      <c r="AH28" s="10"/>
      <c r="AI28" s="10"/>
      <c r="AJ28" s="10"/>
      <c r="AK28" s="10"/>
      <c r="AL28" s="10"/>
      <c r="AM28" s="10"/>
      <c r="AN28" s="10"/>
      <c r="AO28" s="10"/>
      <c r="AP28" s="10"/>
      <c r="AQ28" s="10"/>
      <c r="AR28" s="10"/>
      <c r="AS28" s="10"/>
    </row>
    <row r="29" spans="1:47" ht="14.25" x14ac:dyDescent="0.2">
      <c r="A29" s="48"/>
      <c r="B29" s="49"/>
      <c r="C29" s="49"/>
      <c r="D29" s="49"/>
      <c r="E29" s="49"/>
      <c r="F29" s="49"/>
      <c r="G29" s="49"/>
      <c r="H29" s="49"/>
      <c r="I29" s="49"/>
      <c r="J29" s="49"/>
      <c r="K29" s="49"/>
      <c r="L29" s="49"/>
      <c r="M29" s="50"/>
      <c r="N29" s="50"/>
      <c r="O29" s="50"/>
      <c r="P29" s="50"/>
      <c r="Q29" s="50"/>
      <c r="R29" s="50"/>
      <c r="S29" s="50"/>
      <c r="T29" s="50"/>
      <c r="U29" s="50"/>
      <c r="V29" s="50"/>
      <c r="W29" s="49"/>
      <c r="X29" s="49"/>
      <c r="Y29" s="49"/>
      <c r="Z29" s="49"/>
      <c r="AA29" s="49"/>
      <c r="AB29" s="49"/>
      <c r="AC29" s="49"/>
      <c r="AD29" s="49"/>
      <c r="AE29" s="49"/>
      <c r="AF29" s="10"/>
      <c r="AG29" s="10"/>
      <c r="AH29" s="10"/>
      <c r="AI29" s="10"/>
      <c r="AJ29" s="10"/>
      <c r="AK29" s="10"/>
      <c r="AL29" s="10"/>
      <c r="AM29" s="10"/>
      <c r="AN29" s="10"/>
      <c r="AO29" s="10"/>
      <c r="AP29" s="10"/>
      <c r="AQ29" s="10"/>
      <c r="AR29" s="10"/>
      <c r="AS29" s="10"/>
    </row>
    <row r="30" spans="1:47" ht="14.25" x14ac:dyDescent="0.2">
      <c r="A30" s="27" t="str">
        <f>VLOOKUP("&lt;Legende_2&gt;",Uebersetzungen!$B$3:$E$52,Uebersetzungen!$B$2+1,FALSE)</f>
        <v>Anmerkungen zu den Übrigen:</v>
      </c>
      <c r="B30" s="52"/>
      <c r="C30" s="52"/>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T30" s="33"/>
      <c r="AU30" s="33"/>
    </row>
    <row r="31" spans="1:47" ht="14.25" x14ac:dyDescent="0.2">
      <c r="A31" s="53" t="s">
        <v>18</v>
      </c>
      <c r="B31" s="51"/>
      <c r="C31" s="51" t="str">
        <f>VLOOKUP("&lt;Legende_3&gt;",Uebersetzungen!$B$3:$E$52,Uebersetzungen!$B$2+1,FALSE)</f>
        <v>Parteilos</v>
      </c>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row>
    <row r="32" spans="1:47" ht="14.25" x14ac:dyDescent="0.2">
      <c r="A32" s="53">
        <v>1983</v>
      </c>
      <c r="B32" s="51"/>
      <c r="C32" s="51" t="str">
        <f>VLOOKUP("&lt;Legende_4&gt;",Uebersetzungen!$B$3:$E$52,Uebersetzungen!$B$2+1,FALSE)</f>
        <v>Parteilos 3 Mandate; Unabhängige Demokratische Partei Davos 1 Mandat</v>
      </c>
      <c r="D32" s="52"/>
      <c r="E32" s="52"/>
      <c r="F32" s="52"/>
      <c r="G32" s="52"/>
      <c r="H32" s="52"/>
      <c r="I32" s="52"/>
      <c r="J32" s="52"/>
      <c r="K32" s="52"/>
      <c r="L32" s="29"/>
      <c r="M32" s="29"/>
      <c r="N32" s="29"/>
      <c r="O32" s="29"/>
      <c r="P32" s="29"/>
      <c r="Q32" s="29"/>
      <c r="R32" s="29"/>
      <c r="S32" s="29"/>
      <c r="T32" s="29"/>
      <c r="U32" s="29"/>
      <c r="V32" s="29"/>
      <c r="W32" s="29"/>
      <c r="X32" s="29"/>
      <c r="Y32" s="29"/>
      <c r="Z32" s="29"/>
      <c r="AA32" s="29"/>
      <c r="AB32" s="29"/>
      <c r="AC32" s="29"/>
      <c r="AD32" s="29"/>
      <c r="AE32" s="29"/>
    </row>
    <row r="33" spans="1:45" ht="14.25" x14ac:dyDescent="0.2">
      <c r="A33" s="53">
        <v>1985</v>
      </c>
      <c r="B33" s="51"/>
      <c r="C33" s="51" t="str">
        <f>VLOOKUP("&lt;Legende_5&gt;",Uebersetzungen!$B$3:$E$52,Uebersetzungen!$B$2+1,FALSE)</f>
        <v>Parteilos 3 Mandate, Unabhängige Demokratische Partei Davos 1 Mandat</v>
      </c>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row>
    <row r="34" spans="1:45" ht="14.25" x14ac:dyDescent="0.2">
      <c r="A34" s="53">
        <v>1987</v>
      </c>
      <c r="B34" s="51"/>
      <c r="C34" s="51" t="str">
        <f>VLOOKUP("&lt;Legende_6&gt;",Uebersetzungen!$B$3:$E$52,Uebersetzungen!$B$2+1,FALSE)</f>
        <v>Parteilos 1 Mandat, Unabhängige Demokratische Partei Davos 1 Mandat</v>
      </c>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row>
    <row r="35" spans="1:45" ht="14.25" x14ac:dyDescent="0.2">
      <c r="A35" s="53">
        <v>1989</v>
      </c>
      <c r="B35" s="51"/>
      <c r="C35" s="51" t="str">
        <f>VLOOKUP("&lt;Legende_7&gt;",Uebersetzungen!$B$3:$E$52,Uebersetzungen!$B$2+1,FALSE)</f>
        <v>Unabhängige Demokratsiche Partei Davos</v>
      </c>
      <c r="D35" s="29"/>
      <c r="E35" s="29"/>
      <c r="F35" s="29"/>
      <c r="G35" s="29"/>
      <c r="H35" s="29"/>
      <c r="I35" s="29"/>
      <c r="J35" s="29"/>
      <c r="K35" s="29"/>
      <c r="L35" s="29"/>
      <c r="M35" s="29"/>
      <c r="N35" s="29"/>
      <c r="O35" s="29"/>
      <c r="P35" s="29"/>
      <c r="Q35" s="29"/>
      <c r="R35" s="29"/>
      <c r="S35" s="29"/>
      <c r="T35" s="29"/>
      <c r="U35" s="28"/>
      <c r="V35" s="29"/>
      <c r="W35" s="29"/>
      <c r="X35" s="29"/>
      <c r="Y35" s="29"/>
      <c r="Z35" s="29"/>
      <c r="AA35" s="29"/>
      <c r="AB35" s="29"/>
      <c r="AC35" s="29"/>
      <c r="AD35" s="29"/>
      <c r="AE35" s="29"/>
    </row>
    <row r="36" spans="1:45" ht="14.25" x14ac:dyDescent="0.2">
      <c r="A36" s="53">
        <v>1991</v>
      </c>
      <c r="B36" s="51"/>
      <c r="C36" s="51" t="str">
        <f>VLOOKUP("&lt;Legende_8&gt;",Uebersetzungen!$B$3:$E$52,Uebersetzungen!$B$2+1,FALSE)</f>
        <v>Unabhängige Demokratsiche Partei Davos</v>
      </c>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row>
    <row r="37" spans="1:45" ht="14.25" x14ac:dyDescent="0.2">
      <c r="A37" s="53">
        <v>1994</v>
      </c>
      <c r="B37" s="51"/>
      <c r="C37" s="51" t="str">
        <f>VLOOKUP("&lt;Legende_9&gt;",Uebersetzungen!$B$3:$E$52,Uebersetzungen!$B$2+1,FALSE)</f>
        <v>Parteilos</v>
      </c>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row>
    <row r="38" spans="1:45" ht="14.25" x14ac:dyDescent="0.2">
      <c r="A38" s="53">
        <v>1997</v>
      </c>
      <c r="B38" s="51"/>
      <c r="C38" s="51" t="str">
        <f>VLOOKUP("&lt;Legende_10&gt;",Uebersetzungen!$B$3:$E$52,Uebersetzungen!$B$2+1,FALSE)</f>
        <v>Parteilos</v>
      </c>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row>
    <row r="39" spans="1:45" ht="12.6" customHeight="1" x14ac:dyDescent="0.2">
      <c r="A39" s="53">
        <v>2000</v>
      </c>
      <c r="B39" s="51"/>
      <c r="C39" s="51" t="str">
        <f>VLOOKUP("&lt;Legende_11&gt;",Uebersetzungen!$B$3:$E$52,Uebersetzungen!$B$2+1,FALSE)</f>
        <v>Parteilos</v>
      </c>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row>
    <row r="40" spans="1:45" ht="14.25" x14ac:dyDescent="0.2">
      <c r="A40" s="53">
        <v>2003</v>
      </c>
      <c r="B40" s="51"/>
      <c r="C40" s="51" t="str">
        <f>VLOOKUP("&lt;Legende_12&gt;",Uebersetzungen!$B$3:$E$52,Uebersetzungen!$B$2+1,FALSE)</f>
        <v>Parteilos 3 Mandate; Insieme per Poschiavo 1 Mandat</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row>
    <row r="41" spans="1:45" ht="14.25" x14ac:dyDescent="0.2">
      <c r="A41" s="53">
        <v>2006</v>
      </c>
      <c r="B41" s="51"/>
      <c r="C41" s="51" t="str">
        <f>VLOOKUP("&lt;Legende_13&gt;",Uebersetzungen!$B$3:$E$52,Uebersetzungen!$B$2+1,FALSE)</f>
        <v>Parteilos 4 Mandate; Insieme per Poschiavo 1 Mandat</v>
      </c>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row>
    <row r="42" spans="1:45" ht="14.25" x14ac:dyDescent="0.2">
      <c r="A42" s="53">
        <v>2010</v>
      </c>
      <c r="B42" s="51"/>
      <c r="C42" s="51" t="str">
        <f>VLOOKUP("&lt;Legende_14&gt;",Uebersetzungen!$B$3:$E$52,Uebersetzungen!$B$2+1,FALSE)</f>
        <v>Parteilos</v>
      </c>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row>
    <row r="43" spans="1:45" ht="14.25" x14ac:dyDescent="0.2">
      <c r="A43" s="53">
        <v>2014</v>
      </c>
      <c r="B43" s="51"/>
      <c r="C43" s="51" t="str">
        <f>VLOOKUP("&lt;Legende_15&gt;",Uebersetzungen!$B$3:$E$52,Uebersetzungen!$B$2+1,FALSE)</f>
        <v>Parteilos</v>
      </c>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row>
    <row r="44" spans="1:45" ht="12.6" customHeight="1" x14ac:dyDescent="0.2">
      <c r="A44" s="54">
        <v>2018</v>
      </c>
      <c r="B44" s="29"/>
      <c r="C44" s="51" t="str">
        <f>VLOOKUP("&lt;Legende_16&gt;",Uebersetzungen!$B$3:$E$52,Uebersetzungen!$B$2+1,FALSE)</f>
        <v>Parteilos</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row>
    <row r="45" spans="1:45" ht="14.25" x14ac:dyDescent="0.2">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row>
    <row r="46" spans="1:45" ht="14.25" x14ac:dyDescent="0.2">
      <c r="A46" s="51" t="str">
        <f>VLOOKUP("&lt;Quelle_1&gt;",Uebersetzungen!$B$3:$E$52,Uebersetzungen!$B$2+1,FALSE)</f>
        <v>Quelle: BFS (Statistik der Wahlen und Abstimmungen)</v>
      </c>
      <c r="B46" s="32"/>
      <c r="C46" s="32"/>
      <c r="D46" s="32"/>
      <c r="E46" s="32"/>
      <c r="F46" s="32"/>
      <c r="G46" s="32"/>
      <c r="H46" s="32"/>
      <c r="I46" s="32"/>
      <c r="J46" s="32"/>
      <c r="K46" s="32"/>
      <c r="L46" s="32"/>
      <c r="M46" s="32"/>
      <c r="N46" s="29"/>
      <c r="O46" s="29"/>
      <c r="P46" s="29"/>
      <c r="Q46" s="29"/>
      <c r="R46" s="29"/>
      <c r="S46" s="29"/>
      <c r="T46" s="29"/>
      <c r="U46" s="29"/>
      <c r="V46" s="29"/>
      <c r="W46" s="32"/>
      <c r="X46" s="32"/>
      <c r="Y46" s="32"/>
      <c r="Z46" s="32"/>
      <c r="AA46" s="32"/>
      <c r="AB46" s="32"/>
      <c r="AC46" s="32"/>
      <c r="AD46" s="32"/>
      <c r="AE46" s="32"/>
      <c r="AF46" s="9"/>
      <c r="AG46" s="9"/>
      <c r="AH46" s="9"/>
      <c r="AI46" s="9"/>
      <c r="AJ46" s="9"/>
      <c r="AK46" s="9"/>
      <c r="AL46" s="9"/>
      <c r="AM46" s="9"/>
      <c r="AN46" s="9"/>
      <c r="AO46" s="9"/>
      <c r="AP46" s="9"/>
      <c r="AQ46" s="9"/>
      <c r="AR46" s="9"/>
      <c r="AS46" s="9"/>
    </row>
    <row r="47" spans="1:45" ht="14.25" x14ac:dyDescent="0.2">
      <c r="A47" s="31" t="str">
        <f>VLOOKUP("&lt;Aktualisierung&gt;",Uebersetzungen!$B$3:$E$52,Uebersetzungen!$B$2+1,FALSE)</f>
        <v>Letztmals aktualisiert am: 21.03.2024</v>
      </c>
      <c r="B47" s="32"/>
      <c r="C47" s="32"/>
      <c r="D47" s="32"/>
      <c r="E47" s="32"/>
      <c r="F47" s="32"/>
      <c r="G47" s="32"/>
      <c r="H47" s="32"/>
      <c r="I47" s="32"/>
      <c r="J47" s="32"/>
      <c r="K47" s="32"/>
      <c r="L47" s="32"/>
      <c r="M47" s="32"/>
      <c r="N47" s="29"/>
      <c r="O47" s="29"/>
      <c r="P47" s="29"/>
      <c r="Q47" s="29"/>
      <c r="R47" s="29"/>
      <c r="S47" s="29"/>
      <c r="T47" s="29"/>
      <c r="U47" s="29"/>
      <c r="V47" s="29"/>
      <c r="W47" s="32"/>
      <c r="X47" s="32"/>
      <c r="Y47" s="32"/>
      <c r="Z47" s="32"/>
      <c r="AA47" s="32"/>
      <c r="AB47" s="32"/>
      <c r="AC47" s="32"/>
      <c r="AD47" s="32"/>
      <c r="AE47" s="32"/>
      <c r="AF47" s="9"/>
      <c r="AG47" s="9"/>
      <c r="AH47" s="9"/>
      <c r="AI47" s="9"/>
      <c r="AJ47" s="9"/>
      <c r="AK47" s="9"/>
      <c r="AL47" s="9"/>
      <c r="AM47" s="9"/>
      <c r="AN47" s="9"/>
      <c r="AO47" s="9"/>
      <c r="AP47" s="9"/>
      <c r="AQ47" s="9"/>
      <c r="AR47" s="9"/>
      <c r="AS47" s="9"/>
    </row>
    <row r="48" spans="1:45" ht="9.9499999999999993" customHeight="1" x14ac:dyDescent="0.2">
      <c r="A48" s="31"/>
      <c r="B48" s="32"/>
      <c r="C48" s="32"/>
      <c r="D48" s="32"/>
      <c r="E48" s="32"/>
      <c r="F48" s="32"/>
      <c r="G48" s="32"/>
      <c r="H48" s="32"/>
      <c r="I48" s="32"/>
      <c r="J48" s="32"/>
      <c r="K48" s="32"/>
      <c r="L48" s="32"/>
      <c r="M48" s="32"/>
      <c r="N48" s="29"/>
      <c r="O48" s="29"/>
      <c r="P48" s="29"/>
      <c r="Q48" s="29"/>
      <c r="R48" s="29"/>
      <c r="S48" s="29"/>
      <c r="T48" s="29"/>
      <c r="U48" s="29"/>
      <c r="V48" s="29"/>
      <c r="W48" s="32"/>
      <c r="X48" s="32"/>
      <c r="Y48" s="32"/>
      <c r="Z48" s="32"/>
      <c r="AA48" s="32"/>
      <c r="AB48" s="32"/>
      <c r="AC48" s="32"/>
      <c r="AD48" s="32"/>
      <c r="AE48" s="32"/>
      <c r="AF48" s="9"/>
      <c r="AG48" s="9"/>
      <c r="AH48" s="9"/>
      <c r="AI48" s="9"/>
      <c r="AJ48" s="9"/>
      <c r="AK48" s="9"/>
      <c r="AL48" s="9"/>
      <c r="AM48" s="9"/>
      <c r="AN48" s="9"/>
      <c r="AO48" s="9"/>
      <c r="AP48" s="9"/>
      <c r="AQ48" s="9"/>
      <c r="AR48" s="9"/>
      <c r="AS48" s="9"/>
    </row>
    <row r="49" spans="1:45" ht="9.9499999999999993" customHeight="1" x14ac:dyDescent="0.2">
      <c r="A49" s="31"/>
      <c r="B49" s="32"/>
      <c r="C49" s="32"/>
      <c r="D49" s="32"/>
      <c r="E49" s="32"/>
      <c r="F49" s="32"/>
      <c r="G49" s="32"/>
      <c r="H49" s="32"/>
      <c r="I49" s="32"/>
      <c r="J49" s="32"/>
      <c r="K49" s="32"/>
      <c r="L49" s="32"/>
      <c r="M49" s="32"/>
      <c r="N49" s="29"/>
      <c r="O49" s="29"/>
      <c r="P49" s="29"/>
      <c r="Q49" s="29"/>
      <c r="R49" s="29"/>
      <c r="S49" s="29"/>
      <c r="T49" s="29"/>
      <c r="U49" s="29"/>
      <c r="V49" s="29"/>
      <c r="W49" s="32"/>
      <c r="X49" s="32"/>
      <c r="Y49" s="32"/>
      <c r="Z49" s="32"/>
      <c r="AA49" s="32"/>
      <c r="AB49" s="32"/>
      <c r="AC49" s="32"/>
      <c r="AD49" s="32"/>
      <c r="AE49" s="32"/>
      <c r="AF49" s="9"/>
      <c r="AG49" s="9"/>
      <c r="AH49" s="9"/>
      <c r="AI49" s="9"/>
      <c r="AJ49" s="9"/>
      <c r="AK49" s="9"/>
      <c r="AL49" s="9"/>
      <c r="AM49" s="9"/>
      <c r="AN49" s="9"/>
      <c r="AO49" s="9"/>
      <c r="AP49" s="9"/>
      <c r="AQ49" s="9"/>
      <c r="AR49" s="9"/>
      <c r="AS49" s="9"/>
    </row>
  </sheetData>
  <sheetProtection sheet="1" objects="1" scenarios="1"/>
  <mergeCells count="2">
    <mergeCell ref="A7:D7"/>
    <mergeCell ref="A28:AE28"/>
  </mergeCells>
  <pageMargins left="0.31" right="0.19" top="0.52" bottom="0.43" header="0.41" footer="0.17"/>
  <pageSetup paperSize="9" orientation="landscape" r:id="rId1"/>
  <headerFooter alignWithMargins="0"/>
  <colBreaks count="1" manualBreakCount="1">
    <brk id="2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13</xdr:col>
                    <xdr:colOff>57150</xdr:colOff>
                    <xdr:row>1</xdr:row>
                    <xdr:rowOff>114300</xdr:rowOff>
                  </from>
                  <to>
                    <xdr:col>15</xdr:col>
                    <xdr:colOff>342900</xdr:colOff>
                    <xdr:row>2</xdr:row>
                    <xdr:rowOff>142875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13</xdr:col>
                    <xdr:colOff>57150</xdr:colOff>
                    <xdr:row>2</xdr:row>
                    <xdr:rowOff>104775</xdr:rowOff>
                  </from>
                  <to>
                    <xdr:col>16</xdr:col>
                    <xdr:colOff>314325</xdr:colOff>
                    <xdr:row>3</xdr:row>
                    <xdr:rowOff>114300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13</xdr:col>
                    <xdr:colOff>57150</xdr:colOff>
                    <xdr:row>3</xdr:row>
                    <xdr:rowOff>66675</xdr:rowOff>
                  </from>
                  <to>
                    <xdr:col>15</xdr:col>
                    <xdr:colOff>342900</xdr:colOff>
                    <xdr:row>4</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31"/>
  <sheetViews>
    <sheetView showGridLines="0" zoomScaleNormal="100" workbookViewId="0">
      <pane xSplit="1" topLeftCell="B1" activePane="topRight" state="frozen"/>
      <selection pane="topRight" activeCell="B1" sqref="B1"/>
    </sheetView>
  </sheetViews>
  <sheetFormatPr baseColWidth="10" defaultRowHeight="9.9499999999999993" customHeight="1" x14ac:dyDescent="0.2"/>
  <cols>
    <col min="1" max="1" width="15.83203125" style="31" customWidth="1"/>
    <col min="2" max="58" width="7.5" style="63" customWidth="1"/>
    <col min="59" max="16384" width="12" style="29"/>
  </cols>
  <sheetData>
    <row r="1" spans="1:58" s="35" customFormat="1" ht="12.75" x14ac:dyDescent="0.2">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row>
    <row r="2" spans="1:58" s="35" customFormat="1" ht="15.75" x14ac:dyDescent="0.25">
      <c r="B2" s="56"/>
      <c r="C2" s="57"/>
      <c r="D2" s="57"/>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row>
    <row r="3" spans="1:58" s="35" customFormat="1" ht="15.75" x14ac:dyDescent="0.25">
      <c r="B3" s="56"/>
      <c r="C3" s="57"/>
      <c r="D3" s="57"/>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row>
    <row r="4" spans="1:58" s="35" customFormat="1" ht="15.75" x14ac:dyDescent="0.25">
      <c r="B4" s="56"/>
      <c r="C4" s="57"/>
      <c r="D4" s="57"/>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row>
    <row r="5" spans="1:58" s="35" customFormat="1" ht="12.75" x14ac:dyDescent="0.2">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row>
    <row r="6" spans="1:58" s="22" customFormat="1" ht="12.75" x14ac:dyDescent="0.2">
      <c r="A6" s="24"/>
      <c r="B6" s="58"/>
      <c r="C6" s="58"/>
      <c r="D6" s="58"/>
      <c r="E6" s="58"/>
      <c r="F6" s="58"/>
      <c r="G6" s="58"/>
      <c r="H6" s="58"/>
      <c r="I6" s="58"/>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row>
    <row r="7" spans="1:58" s="24" customFormat="1" ht="15.75" x14ac:dyDescent="0.25">
      <c r="A7" s="88" t="str">
        <f>VLOOKUP("&lt;Fachbereich&gt;",Uebersetzungen!$B$3:$E$31,Uebersetzungen!$B$2+1,FALSE)</f>
        <v>Daten &amp; Statistik</v>
      </c>
      <c r="B7" s="88"/>
      <c r="C7" s="88"/>
      <c r="D7" s="88"/>
      <c r="E7" s="60"/>
      <c r="F7" s="60"/>
      <c r="G7" s="60"/>
      <c r="H7" s="60"/>
      <c r="I7" s="60"/>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row>
    <row r="8" spans="1:58" ht="12.75" x14ac:dyDescent="0.2">
      <c r="A8" s="27"/>
      <c r="B8" s="61"/>
      <c r="C8" s="61"/>
      <c r="D8" s="61"/>
      <c r="E8" s="61"/>
      <c r="F8" s="62"/>
      <c r="G8" s="62"/>
    </row>
    <row r="9" spans="1:58" s="30" customFormat="1" ht="14.1" customHeight="1" x14ac:dyDescent="0.2">
      <c r="A9" s="26" t="str">
        <f>VLOOKUP("&lt;T2Titel&gt;",Uebersetzungen!$B$3:$E$102,Uebersetzungen!$B$2+1,FALSE)</f>
        <v>Kantonale Parlamentswahlen Graubünden: Mandate nach Geschlecht seit 1973</v>
      </c>
      <c r="B9" s="64"/>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6"/>
      <c r="AZ9" s="66"/>
      <c r="BA9" s="66"/>
      <c r="BB9" s="66"/>
      <c r="BC9" s="66"/>
      <c r="BD9" s="66"/>
      <c r="BE9" s="66"/>
      <c r="BF9" s="66"/>
    </row>
    <row r="10" spans="1:58" s="1" customFormat="1" ht="14.25" x14ac:dyDescent="0.2">
      <c r="A10" s="7"/>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8"/>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row>
    <row r="11" spans="1:58" s="4" customFormat="1" ht="18" customHeight="1" x14ac:dyDescent="0.2">
      <c r="A11" s="13"/>
      <c r="B11" s="90">
        <v>1973</v>
      </c>
      <c r="C11" s="91"/>
      <c r="D11" s="92"/>
      <c r="E11" s="90">
        <v>1975</v>
      </c>
      <c r="F11" s="91"/>
      <c r="G11" s="92"/>
      <c r="H11" s="90">
        <v>1977</v>
      </c>
      <c r="I11" s="91"/>
      <c r="J11" s="92"/>
      <c r="K11" s="90">
        <v>1979</v>
      </c>
      <c r="L11" s="91"/>
      <c r="M11" s="92"/>
      <c r="N11" s="90">
        <v>1981</v>
      </c>
      <c r="O11" s="91"/>
      <c r="P11" s="92"/>
      <c r="Q11" s="90">
        <v>1983</v>
      </c>
      <c r="R11" s="91"/>
      <c r="S11" s="92"/>
      <c r="T11" s="90">
        <v>1985</v>
      </c>
      <c r="U11" s="91"/>
      <c r="V11" s="92"/>
      <c r="W11" s="90">
        <v>1987</v>
      </c>
      <c r="X11" s="91"/>
      <c r="Y11" s="92"/>
      <c r="Z11" s="90">
        <v>1989</v>
      </c>
      <c r="AA11" s="91"/>
      <c r="AB11" s="92"/>
      <c r="AC11" s="90">
        <v>1991</v>
      </c>
      <c r="AD11" s="91"/>
      <c r="AE11" s="92"/>
      <c r="AF11" s="90">
        <v>1994</v>
      </c>
      <c r="AG11" s="91"/>
      <c r="AH11" s="92"/>
      <c r="AI11" s="90">
        <v>1997</v>
      </c>
      <c r="AJ11" s="91"/>
      <c r="AK11" s="92"/>
      <c r="AL11" s="90">
        <v>2000</v>
      </c>
      <c r="AM11" s="91"/>
      <c r="AN11" s="92"/>
      <c r="AO11" s="90">
        <v>2003</v>
      </c>
      <c r="AP11" s="91"/>
      <c r="AQ11" s="92"/>
      <c r="AR11" s="90">
        <v>2006</v>
      </c>
      <c r="AS11" s="91"/>
      <c r="AT11" s="92"/>
      <c r="AU11" s="90">
        <v>2010</v>
      </c>
      <c r="AV11" s="91"/>
      <c r="AW11" s="92"/>
      <c r="AX11" s="90" t="s">
        <v>27</v>
      </c>
      <c r="AY11" s="91"/>
      <c r="AZ11" s="92"/>
      <c r="BA11" s="90">
        <v>2018</v>
      </c>
      <c r="BB11" s="91"/>
      <c r="BC11" s="92"/>
      <c r="BD11" s="90">
        <v>2022</v>
      </c>
      <c r="BE11" s="91"/>
      <c r="BF11" s="92"/>
    </row>
    <row r="12" spans="1:58" s="1" customFormat="1" ht="18" customHeight="1" x14ac:dyDescent="0.2">
      <c r="A12" s="14" t="str">
        <f>VLOOKUP("&lt;T2SpaltenTitel_1&gt;",Uebersetzungen!$B$3:$E$127,Uebersetzungen!$B$2+1,FALSE)</f>
        <v>Partei</v>
      </c>
      <c r="B12" s="13" t="str">
        <f>VLOOKUP("&lt;T2SpaltenTitel_2&gt;",Uebersetzungen!$B$3:$E$127,Uebersetzungen!$B$2+1,FALSE)</f>
        <v>F</v>
      </c>
      <c r="C12" s="13" t="str">
        <f>VLOOKUP("&lt;T2SpaltenTitel_3&gt;",Uebersetzungen!$B$3:$E$127,Uebersetzungen!$B$2+1,FALSE)</f>
        <v>M</v>
      </c>
      <c r="D12" s="13" t="str">
        <f>VLOOKUP("&lt;T2SpaltenTitel_4&gt;",Uebersetzungen!$B$3:$E$127,Uebersetzungen!$B$2+1,FALSE)</f>
        <v>F in %</v>
      </c>
      <c r="E12" s="13" t="str">
        <f>VLOOKUP("&lt;T2SpaltenTitel_2&gt;",Uebersetzungen!$B$3:$E$127,Uebersetzungen!$B$2+1,FALSE)</f>
        <v>F</v>
      </c>
      <c r="F12" s="13" t="str">
        <f>VLOOKUP("&lt;T2SpaltenTitel_3&gt;",Uebersetzungen!$B$3:$E$127,Uebersetzungen!$B$2+1,FALSE)</f>
        <v>M</v>
      </c>
      <c r="G12" s="13" t="str">
        <f>VLOOKUP("&lt;T2SpaltenTitel_4&gt;",Uebersetzungen!$B$3:$E$127,Uebersetzungen!$B$2+1,FALSE)</f>
        <v>F in %</v>
      </c>
      <c r="H12" s="13" t="str">
        <f>VLOOKUP("&lt;T2SpaltenTitel_2&gt;",Uebersetzungen!$B$3:$E$127,Uebersetzungen!$B$2+1,FALSE)</f>
        <v>F</v>
      </c>
      <c r="I12" s="13" t="str">
        <f>VLOOKUP("&lt;T2SpaltenTitel_3&gt;",Uebersetzungen!$B$3:$E$127,Uebersetzungen!$B$2+1,FALSE)</f>
        <v>M</v>
      </c>
      <c r="J12" s="13" t="str">
        <f>VLOOKUP("&lt;T2SpaltenTitel_4&gt;",Uebersetzungen!$B$3:$E$127,Uebersetzungen!$B$2+1,FALSE)</f>
        <v>F in %</v>
      </c>
      <c r="K12" s="13" t="str">
        <f>VLOOKUP("&lt;T2SpaltenTitel_2&gt;",Uebersetzungen!$B$3:$E$127,Uebersetzungen!$B$2+1,FALSE)</f>
        <v>F</v>
      </c>
      <c r="L12" s="13" t="str">
        <f>VLOOKUP("&lt;T2SpaltenTitel_3&gt;",Uebersetzungen!$B$3:$E$127,Uebersetzungen!$B$2+1,FALSE)</f>
        <v>M</v>
      </c>
      <c r="M12" s="13" t="str">
        <f>VLOOKUP("&lt;T2SpaltenTitel_4&gt;",Uebersetzungen!$B$3:$E$127,Uebersetzungen!$B$2+1,FALSE)</f>
        <v>F in %</v>
      </c>
      <c r="N12" s="13" t="str">
        <f>VLOOKUP("&lt;T2SpaltenTitel_2&gt;",Uebersetzungen!$B$3:$E$127,Uebersetzungen!$B$2+1,FALSE)</f>
        <v>F</v>
      </c>
      <c r="O12" s="13" t="str">
        <f>VLOOKUP("&lt;T2SpaltenTitel_3&gt;",Uebersetzungen!$B$3:$E$127,Uebersetzungen!$B$2+1,FALSE)</f>
        <v>M</v>
      </c>
      <c r="P12" s="13" t="str">
        <f>VLOOKUP("&lt;T2SpaltenTitel_4&gt;",Uebersetzungen!$B$3:$E$127,Uebersetzungen!$B$2+1,FALSE)</f>
        <v>F in %</v>
      </c>
      <c r="Q12" s="13" t="str">
        <f>VLOOKUP("&lt;T2SpaltenTitel_2&gt;",Uebersetzungen!$B$3:$E$127,Uebersetzungen!$B$2+1,FALSE)</f>
        <v>F</v>
      </c>
      <c r="R12" s="13" t="str">
        <f>VLOOKUP("&lt;T2SpaltenTitel_3&gt;",Uebersetzungen!$B$3:$E$127,Uebersetzungen!$B$2+1,FALSE)</f>
        <v>M</v>
      </c>
      <c r="S12" s="13" t="str">
        <f>VLOOKUP("&lt;T2SpaltenTitel_4&gt;",Uebersetzungen!$B$3:$E$127,Uebersetzungen!$B$2+1,FALSE)</f>
        <v>F in %</v>
      </c>
      <c r="T12" s="13" t="str">
        <f>VLOOKUP("&lt;T2SpaltenTitel_2&gt;",Uebersetzungen!$B$3:$E$127,Uebersetzungen!$B$2+1,FALSE)</f>
        <v>F</v>
      </c>
      <c r="U12" s="13" t="str">
        <f>VLOOKUP("&lt;T2SpaltenTitel_3&gt;",Uebersetzungen!$B$3:$E$127,Uebersetzungen!$B$2+1,FALSE)</f>
        <v>M</v>
      </c>
      <c r="V12" s="13" t="str">
        <f>VLOOKUP("&lt;T2SpaltenTitel_4&gt;",Uebersetzungen!$B$3:$E$127,Uebersetzungen!$B$2+1,FALSE)</f>
        <v>F in %</v>
      </c>
      <c r="W12" s="13" t="str">
        <f>VLOOKUP("&lt;T2SpaltenTitel_2&gt;",Uebersetzungen!$B$3:$E$127,Uebersetzungen!$B$2+1,FALSE)</f>
        <v>F</v>
      </c>
      <c r="X12" s="13" t="str">
        <f>VLOOKUP("&lt;T2SpaltenTitel_3&gt;",Uebersetzungen!$B$3:$E$127,Uebersetzungen!$B$2+1,FALSE)</f>
        <v>M</v>
      </c>
      <c r="Y12" s="13" t="str">
        <f>VLOOKUP("&lt;T2SpaltenTitel_4&gt;",Uebersetzungen!$B$3:$E$127,Uebersetzungen!$B$2+1,FALSE)</f>
        <v>F in %</v>
      </c>
      <c r="Z12" s="13" t="str">
        <f>VLOOKUP("&lt;T2SpaltenTitel_2&gt;",Uebersetzungen!$B$3:$E$127,Uebersetzungen!$B$2+1,FALSE)</f>
        <v>F</v>
      </c>
      <c r="AA12" s="13" t="str">
        <f>VLOOKUP("&lt;T2SpaltenTitel_3&gt;",Uebersetzungen!$B$3:$E$127,Uebersetzungen!$B$2+1,FALSE)</f>
        <v>M</v>
      </c>
      <c r="AB12" s="13" t="str">
        <f>VLOOKUP("&lt;T2SpaltenTitel_4&gt;",Uebersetzungen!$B$3:$E$127,Uebersetzungen!$B$2+1,FALSE)</f>
        <v>F in %</v>
      </c>
      <c r="AC12" s="13" t="str">
        <f>VLOOKUP("&lt;T2SpaltenTitel_2&gt;",Uebersetzungen!$B$3:$E$127,Uebersetzungen!$B$2+1,FALSE)</f>
        <v>F</v>
      </c>
      <c r="AD12" s="13" t="str">
        <f>VLOOKUP("&lt;T2SpaltenTitel_3&gt;",Uebersetzungen!$B$3:$E$127,Uebersetzungen!$B$2+1,FALSE)</f>
        <v>M</v>
      </c>
      <c r="AE12" s="13" t="str">
        <f>VLOOKUP("&lt;T2SpaltenTitel_4&gt;",Uebersetzungen!$B$3:$E$127,Uebersetzungen!$B$2+1,FALSE)</f>
        <v>F in %</v>
      </c>
      <c r="AF12" s="13" t="str">
        <f>VLOOKUP("&lt;T2SpaltenTitel_2&gt;",Uebersetzungen!$B$3:$E$127,Uebersetzungen!$B$2+1,FALSE)</f>
        <v>F</v>
      </c>
      <c r="AG12" s="13" t="str">
        <f>VLOOKUP("&lt;T2SpaltenTitel_3&gt;",Uebersetzungen!$B$3:$E$127,Uebersetzungen!$B$2+1,FALSE)</f>
        <v>M</v>
      </c>
      <c r="AH12" s="13" t="str">
        <f>VLOOKUP("&lt;T2SpaltenTitel_4&gt;",Uebersetzungen!$B$3:$E$127,Uebersetzungen!$B$2+1,FALSE)</f>
        <v>F in %</v>
      </c>
      <c r="AI12" s="13" t="str">
        <f>VLOOKUP("&lt;T2SpaltenTitel_2&gt;",Uebersetzungen!$B$3:$E$127,Uebersetzungen!$B$2+1,FALSE)</f>
        <v>F</v>
      </c>
      <c r="AJ12" s="13" t="str">
        <f>VLOOKUP("&lt;T2SpaltenTitel_3&gt;",Uebersetzungen!$B$3:$E$127,Uebersetzungen!$B$2+1,FALSE)</f>
        <v>M</v>
      </c>
      <c r="AK12" s="13" t="str">
        <f>VLOOKUP("&lt;T2SpaltenTitel_4&gt;",Uebersetzungen!$B$3:$E$127,Uebersetzungen!$B$2+1,FALSE)</f>
        <v>F in %</v>
      </c>
      <c r="AL12" s="13" t="str">
        <f>VLOOKUP("&lt;T2SpaltenTitel_2&gt;",Uebersetzungen!$B$3:$E$127,Uebersetzungen!$B$2+1,FALSE)</f>
        <v>F</v>
      </c>
      <c r="AM12" s="13" t="str">
        <f>VLOOKUP("&lt;T2SpaltenTitel_3&gt;",Uebersetzungen!$B$3:$E$127,Uebersetzungen!$B$2+1,FALSE)</f>
        <v>M</v>
      </c>
      <c r="AN12" s="13" t="str">
        <f>VLOOKUP("&lt;T2SpaltenTitel_4&gt;",Uebersetzungen!$B$3:$E$127,Uebersetzungen!$B$2+1,FALSE)</f>
        <v>F in %</v>
      </c>
      <c r="AO12" s="13" t="str">
        <f>VLOOKUP("&lt;T2SpaltenTitel_2&gt;",Uebersetzungen!$B$3:$E$127,Uebersetzungen!$B$2+1,FALSE)</f>
        <v>F</v>
      </c>
      <c r="AP12" s="13" t="str">
        <f>VLOOKUP("&lt;T2SpaltenTitel_3&gt;",Uebersetzungen!$B$3:$E$127,Uebersetzungen!$B$2+1,FALSE)</f>
        <v>M</v>
      </c>
      <c r="AQ12" s="13" t="str">
        <f>VLOOKUP("&lt;T2SpaltenTitel_4&gt;",Uebersetzungen!$B$3:$E$127,Uebersetzungen!$B$2+1,FALSE)</f>
        <v>F in %</v>
      </c>
      <c r="AR12" s="13" t="str">
        <f>VLOOKUP("&lt;T2SpaltenTitel_2&gt;",Uebersetzungen!$B$3:$E$127,Uebersetzungen!$B$2+1,FALSE)</f>
        <v>F</v>
      </c>
      <c r="AS12" s="13" t="str">
        <f>VLOOKUP("&lt;T2SpaltenTitel_3&gt;",Uebersetzungen!$B$3:$E$127,Uebersetzungen!$B$2+1,FALSE)</f>
        <v>M</v>
      </c>
      <c r="AT12" s="13" t="str">
        <f>VLOOKUP("&lt;T2SpaltenTitel_4&gt;",Uebersetzungen!$B$3:$E$127,Uebersetzungen!$B$2+1,FALSE)</f>
        <v>F in %</v>
      </c>
      <c r="AU12" s="13" t="str">
        <f>VLOOKUP("&lt;T2SpaltenTitel_2&gt;",Uebersetzungen!$B$3:$E$127,Uebersetzungen!$B$2+1,FALSE)</f>
        <v>F</v>
      </c>
      <c r="AV12" s="13" t="str">
        <f>VLOOKUP("&lt;T2SpaltenTitel_3&gt;",Uebersetzungen!$B$3:$E$127,Uebersetzungen!$B$2+1,FALSE)</f>
        <v>M</v>
      </c>
      <c r="AW12" s="13" t="str">
        <f>VLOOKUP("&lt;T2SpaltenTitel_4&gt;",Uebersetzungen!$B$3:$E$127,Uebersetzungen!$B$2+1,FALSE)</f>
        <v>F in %</v>
      </c>
      <c r="AX12" s="13" t="str">
        <f>VLOOKUP("&lt;T2SpaltenTitel_2&gt;",Uebersetzungen!$B$3:$E$127,Uebersetzungen!$B$2+1,FALSE)</f>
        <v>F</v>
      </c>
      <c r="AY12" s="13" t="str">
        <f>VLOOKUP("&lt;T2SpaltenTitel_3&gt;",Uebersetzungen!$B$3:$E$127,Uebersetzungen!$B$2+1,FALSE)</f>
        <v>M</v>
      </c>
      <c r="AZ12" s="13" t="str">
        <f>VLOOKUP("&lt;T2SpaltenTitel_4&gt;",Uebersetzungen!$B$3:$E$127,Uebersetzungen!$B$2+1,FALSE)</f>
        <v>F in %</v>
      </c>
      <c r="BA12" s="13" t="str">
        <f>VLOOKUP("&lt;T2SpaltenTitel_2&gt;",Uebersetzungen!$B$3:$E$127,Uebersetzungen!$B$2+1,FALSE)</f>
        <v>F</v>
      </c>
      <c r="BB12" s="13" t="str">
        <f>VLOOKUP("&lt;T2SpaltenTitel_3&gt;",Uebersetzungen!$B$3:$E$127,Uebersetzungen!$B$2+1,FALSE)</f>
        <v>M</v>
      </c>
      <c r="BC12" s="13" t="str">
        <f>VLOOKUP("&lt;T2SpaltenTitel_4&gt;",Uebersetzungen!$B$3:$E$127,Uebersetzungen!$B$2+1,FALSE)</f>
        <v>F in %</v>
      </c>
      <c r="BD12" s="13" t="str">
        <f>VLOOKUP("&lt;T2SpaltenTitel_2&gt;",Uebersetzungen!$B$3:$E$127,Uebersetzungen!$B$2+1,FALSE)</f>
        <v>F</v>
      </c>
      <c r="BE12" s="13" t="str">
        <f>VLOOKUP("&lt;T2SpaltenTitel_3&gt;",Uebersetzungen!$B$3:$E$127,Uebersetzungen!$B$2+1,FALSE)</f>
        <v>M</v>
      </c>
      <c r="BF12" s="13" t="str">
        <f>VLOOKUP("&lt;T2SpaltenTitel_4&gt;",Uebersetzungen!$B$3:$E$127,Uebersetzungen!$B$2+1,FALSE)</f>
        <v>F in %</v>
      </c>
    </row>
    <row r="13" spans="1:58" s="8" customFormat="1" ht="14.25" x14ac:dyDescent="0.2">
      <c r="A13" s="15" t="str">
        <f>VLOOKUP("&lt;T2Zeilentitel_1&gt;",Uebersetzungen!$B$3:$E$94,Uebersetzungen!$B$2+1,FALSE)</f>
        <v>FDP</v>
      </c>
      <c r="B13" s="69">
        <v>1</v>
      </c>
      <c r="C13" s="70">
        <v>30</v>
      </c>
      <c r="D13" s="71">
        <f t="shared" ref="D13:D26" si="0">IF(OR(ISNUMBER(B13),ISNUMBER(C13)),100/SUM(B13:C13)*B13,"")</f>
        <v>3.225806451612903</v>
      </c>
      <c r="E13" s="69">
        <v>1</v>
      </c>
      <c r="F13" s="70">
        <v>30</v>
      </c>
      <c r="G13" s="71">
        <f t="shared" ref="G13:G26" si="1">IF(OR(ISNUMBER(E13),ISNUMBER(F13)),100/SUM(E13:F13)*E13,"")</f>
        <v>3.225806451612903</v>
      </c>
      <c r="H13" s="69">
        <v>1</v>
      </c>
      <c r="I13" s="70">
        <v>26</v>
      </c>
      <c r="J13" s="71">
        <f t="shared" ref="J13:J26" si="2">IF(OR(ISNUMBER(H13),ISNUMBER(I13)),100/SUM(H13:I13)*H13,"")</f>
        <v>3.7037037037037037</v>
      </c>
      <c r="K13" s="69"/>
      <c r="L13" s="70">
        <v>28</v>
      </c>
      <c r="M13" s="71">
        <f t="shared" ref="M13:M26" si="3">IF(OR(ISNUMBER(K13),ISNUMBER(L13)),100/SUM(K13:L13)*K13,"")</f>
        <v>0</v>
      </c>
      <c r="N13" s="69">
        <v>2</v>
      </c>
      <c r="O13" s="70">
        <v>26</v>
      </c>
      <c r="P13" s="71">
        <f t="shared" ref="P13:P26" si="4">IF(OR(ISNUMBER(N13),ISNUMBER(O13)),100/SUM(N13:O13)*N13,"")</f>
        <v>7.1428571428571432</v>
      </c>
      <c r="Q13" s="69">
        <v>3</v>
      </c>
      <c r="R13" s="70">
        <v>25</v>
      </c>
      <c r="S13" s="71">
        <f t="shared" ref="S13:S26" si="5">IF(OR(ISNUMBER(Q13),ISNUMBER(R13)),100/SUM(Q13:R13)*Q13,"")</f>
        <v>10.714285714285715</v>
      </c>
      <c r="T13" s="69">
        <v>3</v>
      </c>
      <c r="U13" s="70">
        <v>25</v>
      </c>
      <c r="V13" s="71">
        <f t="shared" ref="V13:V26" si="6">IF(OR(ISNUMBER(T13),ISNUMBER(U13)),100/SUM(T13:U13)*T13,"")</f>
        <v>10.714285714285715</v>
      </c>
      <c r="W13" s="69">
        <v>3</v>
      </c>
      <c r="X13" s="70">
        <v>27</v>
      </c>
      <c r="Y13" s="71">
        <f t="shared" ref="Y13:Y26" si="7">IF(OR(ISNUMBER(W13),ISNUMBER(X13)),100/SUM(W13:X13)*W13,"")</f>
        <v>10</v>
      </c>
      <c r="Z13" s="69">
        <v>2</v>
      </c>
      <c r="AA13" s="70">
        <v>25</v>
      </c>
      <c r="AB13" s="71">
        <f t="shared" ref="AB13:AB26" si="8">IF(OR(ISNUMBER(Z13),ISNUMBER(AA13)),100/SUM(Z13:AA13)*Z13,"")</f>
        <v>7.4074074074074074</v>
      </c>
      <c r="AC13" s="69">
        <v>3</v>
      </c>
      <c r="AD13" s="70">
        <v>21</v>
      </c>
      <c r="AE13" s="71">
        <f t="shared" ref="AE13:AE26" si="9">IF(OR(ISNUMBER(AC13),ISNUMBER(AD13)),100/SUM(AC13:AD13)*AC13,"")</f>
        <v>12.5</v>
      </c>
      <c r="AF13" s="69">
        <v>8</v>
      </c>
      <c r="AG13" s="70">
        <v>18</v>
      </c>
      <c r="AH13" s="71">
        <f t="shared" ref="AH13:AH26" si="10">IF(OR(ISNUMBER(AF13),ISNUMBER(AG13)),100/SUM(AF13:AG13)*AF13,"")</f>
        <v>30.76923076923077</v>
      </c>
      <c r="AI13" s="69">
        <v>7</v>
      </c>
      <c r="AJ13" s="70">
        <v>20</v>
      </c>
      <c r="AK13" s="71">
        <f t="shared" ref="AK13:AK26" si="11">IF(OR(ISNUMBER(AI13),ISNUMBER(AJ13)),100/SUM(AI13:AJ13)*AI13,"")</f>
        <v>25.925925925925927</v>
      </c>
      <c r="AL13" s="69">
        <v>5</v>
      </c>
      <c r="AM13" s="70">
        <v>29</v>
      </c>
      <c r="AN13" s="71">
        <f t="shared" ref="AN13:AN25" si="12">IF(OR(ISNUMBER(AL13),ISNUMBER(AM13)),100/SUM(AL13:AM13)*AL13,"")</f>
        <v>14.705882352941178</v>
      </c>
      <c r="AO13" s="69">
        <v>7</v>
      </c>
      <c r="AP13" s="70">
        <v>22</v>
      </c>
      <c r="AQ13" s="71">
        <f t="shared" ref="AQ13:AQ26" si="13">IF(OR(ISNUMBER(AO13),ISNUMBER(AP13)),100/SUM(AO13:AP13)*AO13,"")</f>
        <v>24.137931034482758</v>
      </c>
      <c r="AR13" s="69">
        <v>5</v>
      </c>
      <c r="AS13" s="70">
        <v>28</v>
      </c>
      <c r="AT13" s="71">
        <f t="shared" ref="AT13:AT26" si="14">IF(OR(ISNUMBER(AR13),ISNUMBER(AS13)),100/SUM(AR13:AS13)*AR13,"")</f>
        <v>15.151515151515152</v>
      </c>
      <c r="AU13" s="69">
        <v>9</v>
      </c>
      <c r="AV13" s="70">
        <v>29</v>
      </c>
      <c r="AW13" s="71">
        <f t="shared" ref="AW13:AW26" si="15">IF(OR(ISNUMBER(AU13),ISNUMBER(AV13)),100/SUM(AU13:AV13)*AU13,"")</f>
        <v>23.684210526315791</v>
      </c>
      <c r="AX13" s="69">
        <v>7</v>
      </c>
      <c r="AY13" s="70">
        <v>26</v>
      </c>
      <c r="AZ13" s="71">
        <f t="shared" ref="AZ13:AZ26" si="16">IF(OR(ISNUMBER(AX13),ISNUMBER(AY13)),100/SUM(AX13:AY13)*AX13,"")</f>
        <v>21.212121212121211</v>
      </c>
      <c r="BA13" s="69">
        <v>5</v>
      </c>
      <c r="BB13" s="70">
        <v>31</v>
      </c>
      <c r="BC13" s="71">
        <v>13.888888888888889</v>
      </c>
      <c r="BD13" s="69">
        <v>5</v>
      </c>
      <c r="BE13" s="70">
        <v>22</v>
      </c>
      <c r="BF13" s="71">
        <f t="shared" ref="BF13:BF25" si="17">IF(OR(ISNUMBER(BD13),ISNUMBER(BE13)),100/SUM(BD13:BE13)*BD13,"")</f>
        <v>18.518518518518519</v>
      </c>
    </row>
    <row r="14" spans="1:58" s="8" customFormat="1" ht="14.25" x14ac:dyDescent="0.2">
      <c r="A14" s="16" t="str">
        <f>VLOOKUP("&lt;T2Zeilentitel_2&gt;",Uebersetzungen!$B$3:$E$94,Uebersetzungen!$B$2+1,FALSE)</f>
        <v>Die Mitte</v>
      </c>
      <c r="B14" s="72"/>
      <c r="C14" s="73"/>
      <c r="D14" s="74"/>
      <c r="E14" s="72"/>
      <c r="F14" s="73"/>
      <c r="G14" s="74"/>
      <c r="H14" s="72"/>
      <c r="I14" s="73"/>
      <c r="J14" s="74"/>
      <c r="K14" s="72"/>
      <c r="L14" s="73"/>
      <c r="M14" s="74"/>
      <c r="N14" s="72"/>
      <c r="O14" s="73"/>
      <c r="P14" s="74"/>
      <c r="Q14" s="72"/>
      <c r="R14" s="73"/>
      <c r="S14" s="74"/>
      <c r="T14" s="72"/>
      <c r="U14" s="73"/>
      <c r="V14" s="74"/>
      <c r="W14" s="72"/>
      <c r="X14" s="73"/>
      <c r="Y14" s="74"/>
      <c r="Z14" s="72"/>
      <c r="AA14" s="73"/>
      <c r="AB14" s="74"/>
      <c r="AC14" s="72"/>
      <c r="AD14" s="73"/>
      <c r="AE14" s="74"/>
      <c r="AF14" s="72"/>
      <c r="AG14" s="73"/>
      <c r="AH14" s="74"/>
      <c r="AI14" s="72"/>
      <c r="AJ14" s="73"/>
      <c r="AK14" s="74"/>
      <c r="AL14" s="72"/>
      <c r="AM14" s="73"/>
      <c r="AN14" s="74"/>
      <c r="AO14" s="72"/>
      <c r="AP14" s="73"/>
      <c r="AQ14" s="74"/>
      <c r="AR14" s="72"/>
      <c r="AS14" s="73"/>
      <c r="AT14" s="74"/>
      <c r="AU14" s="72"/>
      <c r="AV14" s="73"/>
      <c r="AW14" s="74"/>
      <c r="AX14" s="72"/>
      <c r="AY14" s="73"/>
      <c r="AZ14" s="74"/>
      <c r="BA14" s="72"/>
      <c r="BB14" s="73"/>
      <c r="BC14" s="74"/>
      <c r="BD14" s="72">
        <v>12</v>
      </c>
      <c r="BE14" s="73">
        <v>22</v>
      </c>
      <c r="BF14" s="74">
        <f t="shared" si="17"/>
        <v>35.294117647058826</v>
      </c>
    </row>
    <row r="15" spans="1:58" s="8" customFormat="1" ht="14.25" x14ac:dyDescent="0.2">
      <c r="A15" s="16" t="str">
        <f>VLOOKUP("&lt;T2Zeilentitel_3&gt;",Uebersetzungen!$B$3:$E$94,Uebersetzungen!$B$2+1,FALSE)</f>
        <v>CVP</v>
      </c>
      <c r="B15" s="72">
        <v>1</v>
      </c>
      <c r="C15" s="73">
        <v>42</v>
      </c>
      <c r="D15" s="74">
        <f t="shared" si="0"/>
        <v>2.3255813953488373</v>
      </c>
      <c r="E15" s="72">
        <v>1</v>
      </c>
      <c r="F15" s="73">
        <v>38</v>
      </c>
      <c r="G15" s="74">
        <f t="shared" si="1"/>
        <v>2.5641025641025643</v>
      </c>
      <c r="H15" s="72">
        <v>1</v>
      </c>
      <c r="I15" s="73">
        <v>40</v>
      </c>
      <c r="J15" s="74">
        <f t="shared" si="2"/>
        <v>2.4390243902439024</v>
      </c>
      <c r="K15" s="72">
        <v>1</v>
      </c>
      <c r="L15" s="73">
        <v>38</v>
      </c>
      <c r="M15" s="74">
        <f t="shared" si="3"/>
        <v>2.5641025641025643</v>
      </c>
      <c r="N15" s="72">
        <v>1</v>
      </c>
      <c r="O15" s="73">
        <v>38</v>
      </c>
      <c r="P15" s="74">
        <f t="shared" si="4"/>
        <v>2.5641025641025643</v>
      </c>
      <c r="Q15" s="72">
        <v>1</v>
      </c>
      <c r="R15" s="73">
        <v>35</v>
      </c>
      <c r="S15" s="74">
        <f t="shared" si="5"/>
        <v>2.7777777777777777</v>
      </c>
      <c r="T15" s="72">
        <v>1</v>
      </c>
      <c r="U15" s="73">
        <v>39</v>
      </c>
      <c r="V15" s="74">
        <f t="shared" si="6"/>
        <v>2.5</v>
      </c>
      <c r="W15" s="72"/>
      <c r="X15" s="73">
        <v>38</v>
      </c>
      <c r="Y15" s="74">
        <f t="shared" si="7"/>
        <v>0</v>
      </c>
      <c r="Z15" s="72"/>
      <c r="AA15" s="73">
        <v>38</v>
      </c>
      <c r="AB15" s="74">
        <f t="shared" si="8"/>
        <v>0</v>
      </c>
      <c r="AC15" s="72">
        <v>1</v>
      </c>
      <c r="AD15" s="73">
        <v>38</v>
      </c>
      <c r="AE15" s="74">
        <f t="shared" si="9"/>
        <v>2.5641025641025643</v>
      </c>
      <c r="AF15" s="72">
        <v>3</v>
      </c>
      <c r="AG15" s="73">
        <v>35</v>
      </c>
      <c r="AH15" s="74">
        <f t="shared" si="10"/>
        <v>7.8947368421052637</v>
      </c>
      <c r="AI15" s="72">
        <v>4</v>
      </c>
      <c r="AJ15" s="73">
        <v>34</v>
      </c>
      <c r="AK15" s="74">
        <f t="shared" si="11"/>
        <v>10.526315789473685</v>
      </c>
      <c r="AL15" s="72">
        <v>3</v>
      </c>
      <c r="AM15" s="73">
        <v>34</v>
      </c>
      <c r="AN15" s="74">
        <f t="shared" si="12"/>
        <v>8.1081081081081088</v>
      </c>
      <c r="AO15" s="72">
        <v>4</v>
      </c>
      <c r="AP15" s="73">
        <v>36</v>
      </c>
      <c r="AQ15" s="74">
        <f t="shared" si="13"/>
        <v>10</v>
      </c>
      <c r="AR15" s="72">
        <v>5</v>
      </c>
      <c r="AS15" s="73">
        <v>30</v>
      </c>
      <c r="AT15" s="74">
        <f t="shared" si="14"/>
        <v>14.285714285714286</v>
      </c>
      <c r="AU15" s="72">
        <v>6</v>
      </c>
      <c r="AV15" s="73">
        <v>27</v>
      </c>
      <c r="AW15" s="74">
        <f t="shared" si="15"/>
        <v>18.18181818181818</v>
      </c>
      <c r="AX15" s="72">
        <v>5</v>
      </c>
      <c r="AY15" s="73">
        <v>26</v>
      </c>
      <c r="AZ15" s="74">
        <f t="shared" si="16"/>
        <v>16.129032258064516</v>
      </c>
      <c r="BA15" s="72">
        <v>6</v>
      </c>
      <c r="BB15" s="73">
        <v>24</v>
      </c>
      <c r="BC15" s="74">
        <v>20</v>
      </c>
      <c r="BD15" s="72"/>
      <c r="BE15" s="73"/>
      <c r="BF15" s="74" t="str">
        <f t="shared" si="17"/>
        <v/>
      </c>
    </row>
    <row r="16" spans="1:58" s="8" customFormat="1" ht="14.25" x14ac:dyDescent="0.2">
      <c r="A16" s="16" t="str">
        <f>VLOOKUP("&lt;T2Zeilentitel_4&gt;",Uebersetzungen!$B$3:$E$94,Uebersetzungen!$B$2+1,FALSE)</f>
        <v>SP</v>
      </c>
      <c r="B16" s="72"/>
      <c r="C16" s="73">
        <v>8</v>
      </c>
      <c r="D16" s="74">
        <f t="shared" si="0"/>
        <v>0</v>
      </c>
      <c r="E16" s="72"/>
      <c r="F16" s="73">
        <v>7</v>
      </c>
      <c r="G16" s="74">
        <f t="shared" si="1"/>
        <v>0</v>
      </c>
      <c r="H16" s="72"/>
      <c r="I16" s="73">
        <v>8</v>
      </c>
      <c r="J16" s="74">
        <f t="shared" si="2"/>
        <v>0</v>
      </c>
      <c r="K16" s="72">
        <v>1</v>
      </c>
      <c r="L16" s="73">
        <v>8</v>
      </c>
      <c r="M16" s="74">
        <f t="shared" si="3"/>
        <v>11.111111111111111</v>
      </c>
      <c r="N16" s="72"/>
      <c r="O16" s="73">
        <v>10</v>
      </c>
      <c r="P16" s="74">
        <f t="shared" si="4"/>
        <v>0</v>
      </c>
      <c r="Q16" s="72"/>
      <c r="R16" s="73">
        <v>9</v>
      </c>
      <c r="S16" s="74">
        <f t="shared" si="5"/>
        <v>0</v>
      </c>
      <c r="T16" s="72"/>
      <c r="U16" s="73">
        <v>5</v>
      </c>
      <c r="V16" s="74">
        <f t="shared" si="6"/>
        <v>0</v>
      </c>
      <c r="W16" s="72"/>
      <c r="X16" s="73">
        <v>10</v>
      </c>
      <c r="Y16" s="74">
        <f t="shared" si="7"/>
        <v>0</v>
      </c>
      <c r="Z16" s="72">
        <v>1</v>
      </c>
      <c r="AA16" s="73">
        <v>5</v>
      </c>
      <c r="AB16" s="74">
        <f t="shared" si="8"/>
        <v>16.666666666666668</v>
      </c>
      <c r="AC16" s="72">
        <v>1</v>
      </c>
      <c r="AD16" s="73">
        <v>7</v>
      </c>
      <c r="AE16" s="74">
        <f t="shared" si="9"/>
        <v>12.5</v>
      </c>
      <c r="AF16" s="72">
        <v>1</v>
      </c>
      <c r="AG16" s="73">
        <v>6</v>
      </c>
      <c r="AH16" s="74">
        <f t="shared" si="10"/>
        <v>14.285714285714286</v>
      </c>
      <c r="AI16" s="72">
        <v>2</v>
      </c>
      <c r="AJ16" s="73">
        <v>8</v>
      </c>
      <c r="AK16" s="74">
        <f t="shared" si="11"/>
        <v>20</v>
      </c>
      <c r="AL16" s="72">
        <v>4</v>
      </c>
      <c r="AM16" s="73">
        <v>9</v>
      </c>
      <c r="AN16" s="74">
        <f t="shared" si="12"/>
        <v>30.76923076923077</v>
      </c>
      <c r="AO16" s="72">
        <v>5</v>
      </c>
      <c r="AP16" s="73">
        <v>8</v>
      </c>
      <c r="AQ16" s="74">
        <f t="shared" si="13"/>
        <v>38.46153846153846</v>
      </c>
      <c r="AR16" s="72">
        <v>6</v>
      </c>
      <c r="AS16" s="73">
        <v>8</v>
      </c>
      <c r="AT16" s="74">
        <f t="shared" si="14"/>
        <v>42.857142857142861</v>
      </c>
      <c r="AU16" s="72">
        <v>5</v>
      </c>
      <c r="AV16" s="73">
        <v>7</v>
      </c>
      <c r="AW16" s="74">
        <f t="shared" si="15"/>
        <v>41.666666666666671</v>
      </c>
      <c r="AX16" s="72">
        <v>5</v>
      </c>
      <c r="AY16" s="73">
        <v>10</v>
      </c>
      <c r="AZ16" s="74">
        <f t="shared" si="16"/>
        <v>33.333333333333336</v>
      </c>
      <c r="BA16" s="72">
        <v>8</v>
      </c>
      <c r="BB16" s="73">
        <v>10</v>
      </c>
      <c r="BC16" s="74">
        <v>44.444444444444443</v>
      </c>
      <c r="BD16" s="72">
        <v>15</v>
      </c>
      <c r="BE16" s="73">
        <v>10</v>
      </c>
      <c r="BF16" s="74">
        <f t="shared" si="17"/>
        <v>60</v>
      </c>
    </row>
    <row r="17" spans="1:58" s="8" customFormat="1" ht="14.25" x14ac:dyDescent="0.2">
      <c r="A17" s="16" t="str">
        <f>VLOOKUP("&lt;T2Zeilentitel_5&gt;",Uebersetzungen!$B$3:$E$94,Uebersetzungen!$B$2+1,FALSE)</f>
        <v>SVP</v>
      </c>
      <c r="B17" s="72">
        <v>1</v>
      </c>
      <c r="C17" s="73">
        <v>37</v>
      </c>
      <c r="D17" s="74">
        <f t="shared" si="0"/>
        <v>2.6315789473684212</v>
      </c>
      <c r="E17" s="72">
        <v>1</v>
      </c>
      <c r="F17" s="73">
        <v>41</v>
      </c>
      <c r="G17" s="74">
        <f t="shared" si="1"/>
        <v>2.3809523809523809</v>
      </c>
      <c r="H17" s="72">
        <v>1</v>
      </c>
      <c r="I17" s="73">
        <v>42</v>
      </c>
      <c r="J17" s="74">
        <f t="shared" si="2"/>
        <v>2.3255813953488373</v>
      </c>
      <c r="K17" s="72"/>
      <c r="L17" s="73">
        <v>42</v>
      </c>
      <c r="M17" s="74">
        <f t="shared" si="3"/>
        <v>0</v>
      </c>
      <c r="N17" s="72">
        <v>1</v>
      </c>
      <c r="O17" s="73">
        <v>39</v>
      </c>
      <c r="P17" s="74">
        <f t="shared" si="4"/>
        <v>2.5</v>
      </c>
      <c r="Q17" s="72">
        <v>1</v>
      </c>
      <c r="R17" s="73">
        <v>41</v>
      </c>
      <c r="S17" s="74">
        <f t="shared" si="5"/>
        <v>2.3809523809523809</v>
      </c>
      <c r="T17" s="72">
        <v>1</v>
      </c>
      <c r="U17" s="73">
        <v>41</v>
      </c>
      <c r="V17" s="74">
        <f t="shared" si="6"/>
        <v>2.3809523809523809</v>
      </c>
      <c r="W17" s="72">
        <v>1</v>
      </c>
      <c r="X17" s="73">
        <v>39</v>
      </c>
      <c r="Y17" s="74">
        <f t="shared" si="7"/>
        <v>2.5</v>
      </c>
      <c r="Z17" s="72">
        <v>1</v>
      </c>
      <c r="AA17" s="73">
        <v>40</v>
      </c>
      <c r="AB17" s="74">
        <f t="shared" si="8"/>
        <v>2.4390243902439024</v>
      </c>
      <c r="AC17" s="72">
        <v>1</v>
      </c>
      <c r="AD17" s="73">
        <v>41</v>
      </c>
      <c r="AE17" s="74">
        <f t="shared" si="9"/>
        <v>2.3809523809523809</v>
      </c>
      <c r="AF17" s="72">
        <v>4</v>
      </c>
      <c r="AG17" s="73">
        <v>37</v>
      </c>
      <c r="AH17" s="74">
        <f t="shared" si="10"/>
        <v>9.7560975609756095</v>
      </c>
      <c r="AI17" s="72">
        <v>4</v>
      </c>
      <c r="AJ17" s="73">
        <v>36</v>
      </c>
      <c r="AK17" s="74">
        <f t="shared" si="11"/>
        <v>10</v>
      </c>
      <c r="AL17" s="72">
        <v>3</v>
      </c>
      <c r="AM17" s="73">
        <v>30</v>
      </c>
      <c r="AN17" s="74">
        <f t="shared" si="12"/>
        <v>9.0909090909090899</v>
      </c>
      <c r="AO17" s="72">
        <v>6</v>
      </c>
      <c r="AP17" s="73">
        <v>27</v>
      </c>
      <c r="AQ17" s="74">
        <f t="shared" si="13"/>
        <v>18.18181818181818</v>
      </c>
      <c r="AR17" s="72">
        <v>8</v>
      </c>
      <c r="AS17" s="73">
        <v>24</v>
      </c>
      <c r="AT17" s="74">
        <f t="shared" si="14"/>
        <v>25</v>
      </c>
      <c r="AU17" s="72">
        <v>1</v>
      </c>
      <c r="AV17" s="73">
        <v>3</v>
      </c>
      <c r="AW17" s="74">
        <f t="shared" si="15"/>
        <v>25</v>
      </c>
      <c r="AX17" s="72">
        <v>1</v>
      </c>
      <c r="AY17" s="73">
        <v>8</v>
      </c>
      <c r="AZ17" s="74">
        <f t="shared" si="16"/>
        <v>11.111111111111111</v>
      </c>
      <c r="BA17" s="72">
        <v>2</v>
      </c>
      <c r="BB17" s="73">
        <v>7</v>
      </c>
      <c r="BC17" s="74">
        <v>22.222222222222221</v>
      </c>
      <c r="BD17" s="72">
        <v>4</v>
      </c>
      <c r="BE17" s="73">
        <v>21</v>
      </c>
      <c r="BF17" s="74">
        <f t="shared" si="17"/>
        <v>16</v>
      </c>
    </row>
    <row r="18" spans="1:58" s="8" customFormat="1" ht="14.25" x14ac:dyDescent="0.2">
      <c r="A18" s="16" t="str">
        <f>VLOOKUP("&lt;T2Zeilentitel_6&gt;",Uebersetzungen!$B$3:$E$94,Uebersetzungen!$B$2+1,FALSE)</f>
        <v>BDP</v>
      </c>
      <c r="B18" s="72"/>
      <c r="C18" s="73"/>
      <c r="D18" s="74" t="str">
        <f t="shared" si="0"/>
        <v/>
      </c>
      <c r="E18" s="72"/>
      <c r="F18" s="73"/>
      <c r="G18" s="74" t="str">
        <f t="shared" si="1"/>
        <v/>
      </c>
      <c r="H18" s="72"/>
      <c r="I18" s="73"/>
      <c r="J18" s="74" t="str">
        <f t="shared" si="2"/>
        <v/>
      </c>
      <c r="K18" s="72"/>
      <c r="L18" s="73"/>
      <c r="M18" s="74" t="str">
        <f t="shared" si="3"/>
        <v/>
      </c>
      <c r="N18" s="72"/>
      <c r="O18" s="73"/>
      <c r="P18" s="74" t="str">
        <f t="shared" si="4"/>
        <v/>
      </c>
      <c r="Q18" s="72"/>
      <c r="R18" s="73"/>
      <c r="S18" s="74" t="str">
        <f t="shared" si="5"/>
        <v/>
      </c>
      <c r="T18" s="72"/>
      <c r="U18" s="73"/>
      <c r="V18" s="74" t="str">
        <f t="shared" si="6"/>
        <v/>
      </c>
      <c r="W18" s="72"/>
      <c r="X18" s="73"/>
      <c r="Y18" s="74" t="str">
        <f t="shared" si="7"/>
        <v/>
      </c>
      <c r="Z18" s="72"/>
      <c r="AA18" s="73"/>
      <c r="AB18" s="74" t="str">
        <f t="shared" si="8"/>
        <v/>
      </c>
      <c r="AC18" s="72"/>
      <c r="AD18" s="73"/>
      <c r="AE18" s="74" t="str">
        <f t="shared" si="9"/>
        <v/>
      </c>
      <c r="AF18" s="72"/>
      <c r="AG18" s="73"/>
      <c r="AH18" s="74" t="str">
        <f t="shared" si="10"/>
        <v/>
      </c>
      <c r="AI18" s="72"/>
      <c r="AJ18" s="73"/>
      <c r="AK18" s="74" t="str">
        <f t="shared" si="11"/>
        <v/>
      </c>
      <c r="AL18" s="72"/>
      <c r="AM18" s="73"/>
      <c r="AN18" s="74" t="str">
        <f t="shared" si="12"/>
        <v/>
      </c>
      <c r="AO18" s="72"/>
      <c r="AP18" s="73"/>
      <c r="AQ18" s="74" t="str">
        <f t="shared" si="13"/>
        <v/>
      </c>
      <c r="AR18" s="72"/>
      <c r="AS18" s="73"/>
      <c r="AT18" s="74" t="str">
        <f t="shared" si="14"/>
        <v/>
      </c>
      <c r="AU18" s="72">
        <v>3</v>
      </c>
      <c r="AV18" s="73">
        <v>23</v>
      </c>
      <c r="AW18" s="74">
        <f t="shared" si="15"/>
        <v>11.538461538461538</v>
      </c>
      <c r="AX18" s="72">
        <v>4</v>
      </c>
      <c r="AY18" s="73">
        <v>24</v>
      </c>
      <c r="AZ18" s="74">
        <f t="shared" si="16"/>
        <v>14.285714285714286</v>
      </c>
      <c r="BA18" s="72">
        <v>4</v>
      </c>
      <c r="BB18" s="73">
        <v>19</v>
      </c>
      <c r="BC18" s="74">
        <v>17.391304347826086</v>
      </c>
      <c r="BD18" s="72"/>
      <c r="BE18" s="73"/>
      <c r="BF18" s="74" t="str">
        <f t="shared" ref="BF18" si="18">IF(OR(ISNUMBER(BD18),ISNUMBER(BE18)),100/SUM(BD18:BE18)*BD18,"")</f>
        <v/>
      </c>
    </row>
    <row r="19" spans="1:58" s="8" customFormat="1" ht="14.25" x14ac:dyDescent="0.2">
      <c r="A19" s="16" t="str">
        <f>VLOOKUP("&lt;T2Zeilentitel_7&gt;",Uebersetzungen!$B$3:$E$94,Uebersetzungen!$B$2+1,FALSE)</f>
        <v>LdU</v>
      </c>
      <c r="B19" s="72"/>
      <c r="C19" s="73"/>
      <c r="D19" s="74" t="str">
        <f t="shared" si="0"/>
        <v/>
      </c>
      <c r="E19" s="72"/>
      <c r="F19" s="73">
        <v>1</v>
      </c>
      <c r="G19" s="74">
        <f t="shared" si="1"/>
        <v>0</v>
      </c>
      <c r="H19" s="72"/>
      <c r="I19" s="73">
        <v>1</v>
      </c>
      <c r="J19" s="74">
        <f t="shared" si="2"/>
        <v>0</v>
      </c>
      <c r="K19" s="72"/>
      <c r="L19" s="73">
        <v>1</v>
      </c>
      <c r="M19" s="74">
        <f t="shared" si="3"/>
        <v>0</v>
      </c>
      <c r="N19" s="72"/>
      <c r="O19" s="73">
        <v>1</v>
      </c>
      <c r="P19" s="74">
        <f t="shared" si="4"/>
        <v>0</v>
      </c>
      <c r="Q19" s="72"/>
      <c r="R19" s="73">
        <v>1</v>
      </c>
      <c r="S19" s="74">
        <f t="shared" si="5"/>
        <v>0</v>
      </c>
      <c r="T19" s="72"/>
      <c r="U19" s="73">
        <v>1</v>
      </c>
      <c r="V19" s="74">
        <f t="shared" si="6"/>
        <v>0</v>
      </c>
      <c r="W19" s="72"/>
      <c r="X19" s="73"/>
      <c r="Y19" s="74" t="str">
        <f t="shared" si="7"/>
        <v/>
      </c>
      <c r="Z19" s="72"/>
      <c r="AA19" s="73"/>
      <c r="AB19" s="74" t="str">
        <f t="shared" si="8"/>
        <v/>
      </c>
      <c r="AC19" s="72"/>
      <c r="AD19" s="73"/>
      <c r="AE19" s="74" t="str">
        <f t="shared" si="9"/>
        <v/>
      </c>
      <c r="AF19" s="72"/>
      <c r="AG19" s="73"/>
      <c r="AH19" s="74" t="str">
        <f t="shared" si="10"/>
        <v/>
      </c>
      <c r="AI19" s="72"/>
      <c r="AJ19" s="73"/>
      <c r="AK19" s="74" t="str">
        <f t="shared" si="11"/>
        <v/>
      </c>
      <c r="AL19" s="72"/>
      <c r="AM19" s="73"/>
      <c r="AN19" s="74" t="str">
        <f t="shared" si="12"/>
        <v/>
      </c>
      <c r="AO19" s="72"/>
      <c r="AP19" s="73"/>
      <c r="AQ19" s="74" t="str">
        <f t="shared" si="13"/>
        <v/>
      </c>
      <c r="AR19" s="72"/>
      <c r="AS19" s="73"/>
      <c r="AT19" s="74" t="str">
        <f t="shared" si="14"/>
        <v/>
      </c>
      <c r="AU19" s="72"/>
      <c r="AV19" s="73"/>
      <c r="AW19" s="74" t="str">
        <f t="shared" si="15"/>
        <v/>
      </c>
      <c r="AX19" s="72"/>
      <c r="AY19" s="73"/>
      <c r="AZ19" s="74" t="str">
        <f t="shared" si="16"/>
        <v/>
      </c>
      <c r="BA19" s="72"/>
      <c r="BB19" s="73"/>
      <c r="BC19" s="74"/>
      <c r="BD19" s="72"/>
      <c r="BE19" s="73"/>
      <c r="BF19" s="74" t="str">
        <f t="shared" si="17"/>
        <v/>
      </c>
    </row>
    <row r="20" spans="1:58" s="8" customFormat="1" ht="14.25" x14ac:dyDescent="0.2">
      <c r="A20" s="16" t="str">
        <f>VLOOKUP("&lt;T2Zeilentitel_8&gt;",Uebersetzungen!$B$3:$E$94,Uebersetzungen!$B$2+1,FALSE)</f>
        <v>CSP</v>
      </c>
      <c r="B20" s="72"/>
      <c r="C20" s="73"/>
      <c r="D20" s="74" t="str">
        <f t="shared" si="0"/>
        <v/>
      </c>
      <c r="E20" s="72"/>
      <c r="F20" s="73"/>
      <c r="G20" s="74" t="str">
        <f t="shared" si="1"/>
        <v/>
      </c>
      <c r="H20" s="72"/>
      <c r="I20" s="73"/>
      <c r="J20" s="74" t="str">
        <f t="shared" si="2"/>
        <v/>
      </c>
      <c r="K20" s="72"/>
      <c r="L20" s="73"/>
      <c r="M20" s="74" t="str">
        <f t="shared" si="3"/>
        <v/>
      </c>
      <c r="N20" s="72"/>
      <c r="O20" s="73"/>
      <c r="P20" s="74" t="str">
        <f t="shared" si="4"/>
        <v/>
      </c>
      <c r="Q20" s="72"/>
      <c r="R20" s="73"/>
      <c r="S20" s="74" t="str">
        <f t="shared" si="5"/>
        <v/>
      </c>
      <c r="T20" s="72"/>
      <c r="U20" s="73"/>
      <c r="V20" s="74" t="str">
        <f t="shared" si="6"/>
        <v/>
      </c>
      <c r="W20" s="72"/>
      <c r="X20" s="73"/>
      <c r="Y20" s="74" t="str">
        <f t="shared" si="7"/>
        <v/>
      </c>
      <c r="Z20" s="72">
        <v>1</v>
      </c>
      <c r="AA20" s="73">
        <v>2</v>
      </c>
      <c r="AB20" s="74">
        <f t="shared" si="8"/>
        <v>33.333333333333336</v>
      </c>
      <c r="AC20" s="72">
        <v>1</v>
      </c>
      <c r="AD20" s="73">
        <v>2</v>
      </c>
      <c r="AE20" s="74">
        <f t="shared" si="9"/>
        <v>33.333333333333336</v>
      </c>
      <c r="AF20" s="72">
        <v>2</v>
      </c>
      <c r="AG20" s="73">
        <v>1</v>
      </c>
      <c r="AH20" s="74">
        <f t="shared" si="10"/>
        <v>66.666666666666671</v>
      </c>
      <c r="AI20" s="72">
        <v>2</v>
      </c>
      <c r="AJ20" s="73">
        <v>1</v>
      </c>
      <c r="AK20" s="74">
        <f t="shared" si="11"/>
        <v>66.666666666666671</v>
      </c>
      <c r="AL20" s="72"/>
      <c r="AM20" s="73"/>
      <c r="AN20" s="74" t="str">
        <f t="shared" si="12"/>
        <v/>
      </c>
      <c r="AO20" s="72"/>
      <c r="AP20" s="73"/>
      <c r="AQ20" s="74" t="str">
        <f t="shared" si="13"/>
        <v/>
      </c>
      <c r="AR20" s="72"/>
      <c r="AS20" s="73"/>
      <c r="AT20" s="74" t="str">
        <f t="shared" si="14"/>
        <v/>
      </c>
      <c r="AU20" s="72"/>
      <c r="AV20" s="73"/>
      <c r="AW20" s="74" t="str">
        <f t="shared" si="15"/>
        <v/>
      </c>
      <c r="AX20" s="72"/>
      <c r="AY20" s="73"/>
      <c r="AZ20" s="74" t="str">
        <f t="shared" si="16"/>
        <v/>
      </c>
      <c r="BA20" s="72"/>
      <c r="BB20" s="73"/>
      <c r="BC20" s="74"/>
      <c r="BD20" s="72"/>
      <c r="BE20" s="73"/>
      <c r="BF20" s="74" t="str">
        <f t="shared" si="17"/>
        <v/>
      </c>
    </row>
    <row r="21" spans="1:58" s="8" customFormat="1" ht="14.25" x14ac:dyDescent="0.2">
      <c r="A21" s="16" t="str">
        <f>VLOOKUP("&lt;T2Zeilentitel_9&gt;",Uebersetzungen!$B$3:$E$94,Uebersetzungen!$B$2+1,FALSE)</f>
        <v>GLP</v>
      </c>
      <c r="B21" s="72"/>
      <c r="C21" s="73"/>
      <c r="D21" s="74" t="str">
        <f t="shared" si="0"/>
        <v/>
      </c>
      <c r="E21" s="72"/>
      <c r="F21" s="73"/>
      <c r="G21" s="74" t="str">
        <f t="shared" si="1"/>
        <v/>
      </c>
      <c r="H21" s="72"/>
      <c r="I21" s="73"/>
      <c r="J21" s="74" t="str">
        <f t="shared" si="2"/>
        <v/>
      </c>
      <c r="K21" s="72"/>
      <c r="L21" s="73"/>
      <c r="M21" s="74" t="str">
        <f t="shared" si="3"/>
        <v/>
      </c>
      <c r="N21" s="72"/>
      <c r="O21" s="73"/>
      <c r="P21" s="74" t="str">
        <f t="shared" si="4"/>
        <v/>
      </c>
      <c r="Q21" s="72"/>
      <c r="R21" s="73"/>
      <c r="S21" s="74" t="str">
        <f t="shared" si="5"/>
        <v/>
      </c>
      <c r="T21" s="72"/>
      <c r="U21" s="73"/>
      <c r="V21" s="74" t="str">
        <f t="shared" si="6"/>
        <v/>
      </c>
      <c r="W21" s="72"/>
      <c r="X21" s="73"/>
      <c r="Y21" s="74" t="str">
        <f t="shared" si="7"/>
        <v/>
      </c>
      <c r="Z21" s="72"/>
      <c r="AA21" s="73"/>
      <c r="AB21" s="74" t="str">
        <f t="shared" si="8"/>
        <v/>
      </c>
      <c r="AC21" s="72"/>
      <c r="AD21" s="73"/>
      <c r="AE21" s="74" t="str">
        <f t="shared" si="9"/>
        <v/>
      </c>
      <c r="AF21" s="72"/>
      <c r="AG21" s="73"/>
      <c r="AH21" s="74" t="str">
        <f t="shared" si="10"/>
        <v/>
      </c>
      <c r="AI21" s="72"/>
      <c r="AJ21" s="73"/>
      <c r="AK21" s="74" t="str">
        <f t="shared" si="11"/>
        <v/>
      </c>
      <c r="AL21" s="72"/>
      <c r="AM21" s="73"/>
      <c r="AN21" s="74" t="str">
        <f t="shared" si="12"/>
        <v/>
      </c>
      <c r="AO21" s="72"/>
      <c r="AP21" s="73"/>
      <c r="AQ21" s="74" t="str">
        <f t="shared" si="13"/>
        <v/>
      </c>
      <c r="AR21" s="72"/>
      <c r="AS21" s="73"/>
      <c r="AT21" s="74" t="str">
        <f t="shared" si="14"/>
        <v/>
      </c>
      <c r="AU21" s="72"/>
      <c r="AV21" s="73">
        <v>2</v>
      </c>
      <c r="AW21" s="74">
        <f t="shared" si="15"/>
        <v>0</v>
      </c>
      <c r="AX21" s="72"/>
      <c r="AY21" s="73">
        <v>2</v>
      </c>
      <c r="AZ21" s="74">
        <f t="shared" si="16"/>
        <v>0</v>
      </c>
      <c r="BA21" s="72"/>
      <c r="BB21" s="73">
        <v>3</v>
      </c>
      <c r="BC21" s="74">
        <v>0</v>
      </c>
      <c r="BD21" s="72">
        <v>3</v>
      </c>
      <c r="BE21" s="73">
        <v>4</v>
      </c>
      <c r="BF21" s="74">
        <f t="shared" si="17"/>
        <v>42.857142857142861</v>
      </c>
    </row>
    <row r="22" spans="1:58" s="8" customFormat="1" ht="14.25" x14ac:dyDescent="0.2">
      <c r="A22" s="16" t="str">
        <f>VLOOKUP("&lt;T2Zeilentitel_10&gt;",Uebersetzungen!$B$3:$E$94,Uebersetzungen!$B$2+1,FALSE)</f>
        <v>Grüne</v>
      </c>
      <c r="B22" s="72"/>
      <c r="C22" s="73"/>
      <c r="D22" s="74"/>
      <c r="E22" s="72"/>
      <c r="F22" s="73"/>
      <c r="G22" s="74"/>
      <c r="H22" s="72"/>
      <c r="I22" s="73"/>
      <c r="J22" s="74"/>
      <c r="K22" s="72"/>
      <c r="L22" s="73"/>
      <c r="M22" s="74"/>
      <c r="N22" s="72"/>
      <c r="O22" s="73"/>
      <c r="P22" s="74"/>
      <c r="Q22" s="72"/>
      <c r="R22" s="73"/>
      <c r="S22" s="74"/>
      <c r="T22" s="72"/>
      <c r="U22" s="73"/>
      <c r="V22" s="74"/>
      <c r="W22" s="72"/>
      <c r="X22" s="73"/>
      <c r="Y22" s="74"/>
      <c r="Z22" s="72"/>
      <c r="AA22" s="73"/>
      <c r="AB22" s="74"/>
      <c r="AC22" s="72"/>
      <c r="AD22" s="73"/>
      <c r="AE22" s="74"/>
      <c r="AF22" s="72"/>
      <c r="AG22" s="73"/>
      <c r="AH22" s="74"/>
      <c r="AI22" s="72"/>
      <c r="AJ22" s="73"/>
      <c r="AK22" s="74"/>
      <c r="AL22" s="72"/>
      <c r="AM22" s="73"/>
      <c r="AN22" s="74"/>
      <c r="AO22" s="72"/>
      <c r="AP22" s="73"/>
      <c r="AQ22" s="74"/>
      <c r="AR22" s="72"/>
      <c r="AS22" s="73"/>
      <c r="AT22" s="74"/>
      <c r="AU22" s="72"/>
      <c r="AV22" s="73"/>
      <c r="AW22" s="74"/>
      <c r="AX22" s="72"/>
      <c r="AY22" s="73"/>
      <c r="AZ22" s="74"/>
      <c r="BA22" s="72"/>
      <c r="BB22" s="73"/>
      <c r="BC22" s="74"/>
      <c r="BD22" s="72">
        <v>1</v>
      </c>
      <c r="BE22" s="73">
        <v>1</v>
      </c>
      <c r="BF22" s="74">
        <f t="shared" si="17"/>
        <v>50</v>
      </c>
    </row>
    <row r="23" spans="1:58" s="8" customFormat="1" ht="14.25" x14ac:dyDescent="0.2">
      <c r="A23" s="16" t="str">
        <f>VLOOKUP("&lt;T2Zeilentitel_11&gt;",Uebersetzungen!$B$3:$E$94,Uebersetzungen!$B$2+1,FALSE)</f>
        <v>DSP</v>
      </c>
      <c r="B23" s="72"/>
      <c r="C23" s="73"/>
      <c r="D23" s="74" t="str">
        <f t="shared" si="0"/>
        <v/>
      </c>
      <c r="E23" s="72"/>
      <c r="F23" s="73"/>
      <c r="G23" s="74" t="str">
        <f t="shared" si="1"/>
        <v/>
      </c>
      <c r="H23" s="72"/>
      <c r="I23" s="73"/>
      <c r="J23" s="74" t="str">
        <f t="shared" si="2"/>
        <v/>
      </c>
      <c r="K23" s="72"/>
      <c r="L23" s="73"/>
      <c r="M23" s="74" t="str">
        <f t="shared" si="3"/>
        <v/>
      </c>
      <c r="N23" s="72"/>
      <c r="O23" s="73"/>
      <c r="P23" s="74" t="str">
        <f t="shared" si="4"/>
        <v/>
      </c>
      <c r="Q23" s="72"/>
      <c r="R23" s="73"/>
      <c r="S23" s="74" t="str">
        <f t="shared" si="5"/>
        <v/>
      </c>
      <c r="T23" s="72"/>
      <c r="U23" s="73"/>
      <c r="V23" s="74" t="str">
        <f t="shared" si="6"/>
        <v/>
      </c>
      <c r="W23" s="72"/>
      <c r="X23" s="73"/>
      <c r="Y23" s="74" t="str">
        <f t="shared" si="7"/>
        <v/>
      </c>
      <c r="Z23" s="72"/>
      <c r="AA23" s="73">
        <v>4</v>
      </c>
      <c r="AB23" s="74">
        <f t="shared" si="8"/>
        <v>0</v>
      </c>
      <c r="AC23" s="72"/>
      <c r="AD23" s="73">
        <v>2</v>
      </c>
      <c r="AE23" s="74">
        <f t="shared" si="9"/>
        <v>0</v>
      </c>
      <c r="AF23" s="72"/>
      <c r="AG23" s="73">
        <v>2</v>
      </c>
      <c r="AH23" s="74">
        <f t="shared" si="10"/>
        <v>0</v>
      </c>
      <c r="AI23" s="72"/>
      <c r="AJ23" s="73">
        <v>1</v>
      </c>
      <c r="AK23" s="74">
        <f t="shared" si="11"/>
        <v>0</v>
      </c>
      <c r="AL23" s="72"/>
      <c r="AM23" s="73">
        <v>1</v>
      </c>
      <c r="AN23" s="74">
        <f t="shared" si="12"/>
        <v>0</v>
      </c>
      <c r="AO23" s="72"/>
      <c r="AP23" s="73">
        <v>1</v>
      </c>
      <c r="AQ23" s="74">
        <f t="shared" si="13"/>
        <v>0</v>
      </c>
      <c r="AR23" s="72"/>
      <c r="AS23" s="73">
        <v>1</v>
      </c>
      <c r="AT23" s="74">
        <f t="shared" si="14"/>
        <v>0</v>
      </c>
      <c r="AU23" s="72"/>
      <c r="AV23" s="73"/>
      <c r="AW23" s="74" t="str">
        <f t="shared" si="15"/>
        <v/>
      </c>
      <c r="AX23" s="72"/>
      <c r="AY23" s="73"/>
      <c r="AZ23" s="74" t="str">
        <f t="shared" si="16"/>
        <v/>
      </c>
      <c r="BA23" s="72"/>
      <c r="BB23" s="73"/>
      <c r="BC23" s="74"/>
      <c r="BD23" s="72"/>
      <c r="BE23" s="73"/>
      <c r="BF23" s="74" t="str">
        <f t="shared" si="17"/>
        <v/>
      </c>
    </row>
    <row r="24" spans="1:58" s="8" customFormat="1" ht="14.25" x14ac:dyDescent="0.2">
      <c r="A24" s="16" t="str">
        <f>VLOOKUP("&lt;T2Zeilentitel_12&gt;",Uebersetzungen!$B$3:$E$94,Uebersetzungen!$B$2+1,FALSE)</f>
        <v>FGA</v>
      </c>
      <c r="B24" s="72"/>
      <c r="C24" s="73"/>
      <c r="D24" s="74" t="str">
        <f t="shared" si="0"/>
        <v/>
      </c>
      <c r="E24" s="72"/>
      <c r="F24" s="73"/>
      <c r="G24" s="74" t="str">
        <f t="shared" si="1"/>
        <v/>
      </c>
      <c r="H24" s="72"/>
      <c r="I24" s="73"/>
      <c r="J24" s="74" t="str">
        <f t="shared" si="2"/>
        <v/>
      </c>
      <c r="K24" s="72"/>
      <c r="L24" s="73"/>
      <c r="M24" s="74" t="str">
        <f t="shared" si="3"/>
        <v/>
      </c>
      <c r="N24" s="72"/>
      <c r="O24" s="73"/>
      <c r="P24" s="74" t="str">
        <f t="shared" si="4"/>
        <v/>
      </c>
      <c r="Q24" s="72"/>
      <c r="R24" s="73"/>
      <c r="S24" s="74" t="str">
        <f t="shared" si="5"/>
        <v/>
      </c>
      <c r="T24" s="72"/>
      <c r="U24" s="73"/>
      <c r="V24" s="74" t="str">
        <f t="shared" si="6"/>
        <v/>
      </c>
      <c r="W24" s="72"/>
      <c r="X24" s="73"/>
      <c r="Y24" s="74" t="str">
        <f t="shared" si="7"/>
        <v/>
      </c>
      <c r="Z24" s="72"/>
      <c r="AA24" s="73"/>
      <c r="AB24" s="74" t="str">
        <f t="shared" si="8"/>
        <v/>
      </c>
      <c r="AC24" s="72"/>
      <c r="AD24" s="73">
        <v>1</v>
      </c>
      <c r="AE24" s="74">
        <f t="shared" si="9"/>
        <v>0</v>
      </c>
      <c r="AF24" s="72"/>
      <c r="AG24" s="73"/>
      <c r="AH24" s="74" t="str">
        <f t="shared" si="10"/>
        <v/>
      </c>
      <c r="AI24" s="72"/>
      <c r="AJ24" s="73"/>
      <c r="AK24" s="74" t="str">
        <f t="shared" si="11"/>
        <v/>
      </c>
      <c r="AL24" s="72"/>
      <c r="AM24" s="73"/>
      <c r="AN24" s="74" t="str">
        <f t="shared" si="12"/>
        <v/>
      </c>
      <c r="AO24" s="72"/>
      <c r="AP24" s="73"/>
      <c r="AQ24" s="74" t="str">
        <f t="shared" si="13"/>
        <v/>
      </c>
      <c r="AR24" s="72"/>
      <c r="AS24" s="73"/>
      <c r="AT24" s="74" t="str">
        <f t="shared" si="14"/>
        <v/>
      </c>
      <c r="AU24" s="72"/>
      <c r="AV24" s="73"/>
      <c r="AW24" s="74" t="str">
        <f t="shared" si="15"/>
        <v/>
      </c>
      <c r="AX24" s="72"/>
      <c r="AY24" s="73"/>
      <c r="AZ24" s="74" t="str">
        <f t="shared" si="16"/>
        <v/>
      </c>
      <c r="BA24" s="72"/>
      <c r="BB24" s="73"/>
      <c r="BC24" s="74"/>
      <c r="BD24" s="72"/>
      <c r="BE24" s="73"/>
      <c r="BF24" s="74" t="str">
        <f t="shared" si="17"/>
        <v/>
      </c>
    </row>
    <row r="25" spans="1:58" s="8" customFormat="1" ht="14.25" x14ac:dyDescent="0.2">
      <c r="A25" s="16" t="str">
        <f>VLOOKUP("&lt;T2Zeilentitel_13&gt;",Uebersetzungen!$B$3:$E$94,Uebersetzungen!$B$2+1,FALSE)</f>
        <v>Übrige</v>
      </c>
      <c r="B25" s="75"/>
      <c r="C25" s="76"/>
      <c r="D25" s="77" t="str">
        <f t="shared" si="0"/>
        <v/>
      </c>
      <c r="E25" s="75"/>
      <c r="F25" s="76"/>
      <c r="G25" s="77" t="str">
        <f t="shared" si="1"/>
        <v/>
      </c>
      <c r="H25" s="75"/>
      <c r="I25" s="76"/>
      <c r="J25" s="77" t="str">
        <f t="shared" si="2"/>
        <v/>
      </c>
      <c r="K25" s="75"/>
      <c r="L25" s="76">
        <v>1</v>
      </c>
      <c r="M25" s="77">
        <f t="shared" si="3"/>
        <v>0</v>
      </c>
      <c r="N25" s="75"/>
      <c r="O25" s="76">
        <v>2</v>
      </c>
      <c r="P25" s="77">
        <f t="shared" si="4"/>
        <v>0</v>
      </c>
      <c r="Q25" s="75">
        <v>1</v>
      </c>
      <c r="R25" s="76">
        <v>3</v>
      </c>
      <c r="S25" s="77">
        <f t="shared" si="5"/>
        <v>25</v>
      </c>
      <c r="T25" s="75">
        <v>1</v>
      </c>
      <c r="U25" s="76">
        <v>3</v>
      </c>
      <c r="V25" s="77">
        <f t="shared" si="6"/>
        <v>25</v>
      </c>
      <c r="W25" s="75">
        <v>1</v>
      </c>
      <c r="X25" s="76">
        <v>1</v>
      </c>
      <c r="Y25" s="77">
        <f t="shared" si="7"/>
        <v>50</v>
      </c>
      <c r="Z25" s="75">
        <v>1</v>
      </c>
      <c r="AA25" s="76"/>
      <c r="AB25" s="77">
        <f t="shared" si="8"/>
        <v>100</v>
      </c>
      <c r="AC25" s="75">
        <v>1</v>
      </c>
      <c r="AD25" s="76"/>
      <c r="AE25" s="77">
        <f t="shared" si="9"/>
        <v>100</v>
      </c>
      <c r="AF25" s="75"/>
      <c r="AG25" s="76">
        <v>3</v>
      </c>
      <c r="AH25" s="77">
        <f t="shared" si="10"/>
        <v>0</v>
      </c>
      <c r="AI25" s="75">
        <v>1</v>
      </c>
      <c r="AJ25" s="76"/>
      <c r="AK25" s="77">
        <f t="shared" si="11"/>
        <v>100</v>
      </c>
      <c r="AL25" s="75">
        <v>2</v>
      </c>
      <c r="AM25" s="76"/>
      <c r="AN25" s="77">
        <f t="shared" si="12"/>
        <v>100</v>
      </c>
      <c r="AO25" s="75">
        <v>2</v>
      </c>
      <c r="AP25" s="76">
        <v>2</v>
      </c>
      <c r="AQ25" s="77">
        <f t="shared" si="13"/>
        <v>50</v>
      </c>
      <c r="AR25" s="75">
        <v>2</v>
      </c>
      <c r="AS25" s="76">
        <v>3</v>
      </c>
      <c r="AT25" s="77">
        <f t="shared" si="14"/>
        <v>40</v>
      </c>
      <c r="AU25" s="75">
        <v>2</v>
      </c>
      <c r="AV25" s="76">
        <v>3</v>
      </c>
      <c r="AW25" s="77">
        <f t="shared" si="15"/>
        <v>40</v>
      </c>
      <c r="AX25" s="75">
        <v>1</v>
      </c>
      <c r="AY25" s="76">
        <v>1</v>
      </c>
      <c r="AZ25" s="77">
        <f t="shared" si="16"/>
        <v>50</v>
      </c>
      <c r="BA25" s="75">
        <v>1</v>
      </c>
      <c r="BB25" s="76">
        <v>1</v>
      </c>
      <c r="BC25" s="77">
        <v>100</v>
      </c>
      <c r="BD25" s="75"/>
      <c r="BE25" s="76"/>
      <c r="BF25" s="77" t="str">
        <f t="shared" si="17"/>
        <v/>
      </c>
    </row>
    <row r="26" spans="1:58" s="1" customFormat="1" ht="20.25" customHeight="1" x14ac:dyDescent="0.2">
      <c r="A26" s="12" t="str">
        <f>VLOOKUP("&lt;T2Zeilentitel_14&gt;",Uebersetzungen!$B$3:$E$94,Uebersetzungen!$B$2+1,FALSE)</f>
        <v>Total</v>
      </c>
      <c r="B26" s="78">
        <v>3</v>
      </c>
      <c r="C26" s="79">
        <v>117</v>
      </c>
      <c r="D26" s="80">
        <f t="shared" si="0"/>
        <v>2.5</v>
      </c>
      <c r="E26" s="78">
        <v>3</v>
      </c>
      <c r="F26" s="79">
        <v>117</v>
      </c>
      <c r="G26" s="80">
        <f t="shared" si="1"/>
        <v>2.5</v>
      </c>
      <c r="H26" s="78">
        <v>3</v>
      </c>
      <c r="I26" s="79">
        <v>117</v>
      </c>
      <c r="J26" s="80">
        <f t="shared" si="2"/>
        <v>2.5</v>
      </c>
      <c r="K26" s="78">
        <v>2</v>
      </c>
      <c r="L26" s="79">
        <v>118</v>
      </c>
      <c r="M26" s="80">
        <f t="shared" si="3"/>
        <v>1.6666666666666667</v>
      </c>
      <c r="N26" s="78">
        <v>4</v>
      </c>
      <c r="O26" s="79">
        <v>116</v>
      </c>
      <c r="P26" s="80">
        <f t="shared" si="4"/>
        <v>3.3333333333333335</v>
      </c>
      <c r="Q26" s="78">
        <v>6</v>
      </c>
      <c r="R26" s="79">
        <v>114</v>
      </c>
      <c r="S26" s="80">
        <f t="shared" si="5"/>
        <v>5</v>
      </c>
      <c r="T26" s="78">
        <v>6</v>
      </c>
      <c r="U26" s="79">
        <v>114</v>
      </c>
      <c r="V26" s="80">
        <f t="shared" si="6"/>
        <v>5</v>
      </c>
      <c r="W26" s="78">
        <v>5</v>
      </c>
      <c r="X26" s="79">
        <v>115</v>
      </c>
      <c r="Y26" s="80">
        <f t="shared" si="7"/>
        <v>4.166666666666667</v>
      </c>
      <c r="Z26" s="78">
        <v>6</v>
      </c>
      <c r="AA26" s="79">
        <v>114</v>
      </c>
      <c r="AB26" s="80">
        <f t="shared" si="8"/>
        <v>5</v>
      </c>
      <c r="AC26" s="78">
        <v>8</v>
      </c>
      <c r="AD26" s="79">
        <v>112</v>
      </c>
      <c r="AE26" s="80">
        <f t="shared" si="9"/>
        <v>6.666666666666667</v>
      </c>
      <c r="AF26" s="78">
        <v>18</v>
      </c>
      <c r="AG26" s="79">
        <v>102</v>
      </c>
      <c r="AH26" s="80">
        <f t="shared" si="10"/>
        <v>15</v>
      </c>
      <c r="AI26" s="78">
        <v>20</v>
      </c>
      <c r="AJ26" s="79">
        <v>100</v>
      </c>
      <c r="AK26" s="80">
        <f t="shared" si="11"/>
        <v>16.666666666666668</v>
      </c>
      <c r="AL26" s="78">
        <v>17</v>
      </c>
      <c r="AM26" s="79">
        <v>103</v>
      </c>
      <c r="AN26" s="80">
        <f>IF(OR(ISNUMBER(AL26),ISNUMBER(AM26)),100/SUM(AL26:AM26)*AL26,"")</f>
        <v>14.166666666666668</v>
      </c>
      <c r="AO26" s="78">
        <v>24</v>
      </c>
      <c r="AP26" s="79">
        <v>96</v>
      </c>
      <c r="AQ26" s="80">
        <f t="shared" si="13"/>
        <v>20</v>
      </c>
      <c r="AR26" s="78">
        <v>26</v>
      </c>
      <c r="AS26" s="79">
        <v>94</v>
      </c>
      <c r="AT26" s="80">
        <f t="shared" si="14"/>
        <v>21.666666666666668</v>
      </c>
      <c r="AU26" s="78">
        <v>26</v>
      </c>
      <c r="AV26" s="79">
        <v>94</v>
      </c>
      <c r="AW26" s="80">
        <f t="shared" si="15"/>
        <v>21.666666666666668</v>
      </c>
      <c r="AX26" s="78">
        <v>23</v>
      </c>
      <c r="AY26" s="79">
        <v>97</v>
      </c>
      <c r="AZ26" s="80">
        <f t="shared" si="16"/>
        <v>19.166666666666668</v>
      </c>
      <c r="BA26" s="78">
        <v>26</v>
      </c>
      <c r="BB26" s="79">
        <v>94</v>
      </c>
      <c r="BC26" s="80">
        <v>21.666666666666668</v>
      </c>
      <c r="BD26" s="78">
        <v>26</v>
      </c>
      <c r="BE26" s="79">
        <v>94</v>
      </c>
      <c r="BF26" s="80">
        <f>IF(OR(ISNUMBER(BD26),ISNUMBER(BE26)),100/SUM(BD26:BE26)*BD26,"")</f>
        <v>21.666666666666668</v>
      </c>
    </row>
    <row r="27" spans="1:58" s="1" customFormat="1" ht="15" x14ac:dyDescent="0.25">
      <c r="A27" s="2"/>
      <c r="B27" s="81"/>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row>
    <row r="28" spans="1:58" s="1" customFormat="1" ht="40.5" customHeight="1" x14ac:dyDescent="0.2">
      <c r="A28" s="89" t="str">
        <f>VLOOKUP("&lt;Legende_1&gt;",Uebersetzungen!$B$3:$E$52,Uebersetzungen!$B$2+1,FALSE)</f>
        <v>*) Im Kanton Graubünden wurde bei den Grossratswahlen vom 18. Mai 2014 der gewählte BDP-Vertreter im Majorzwahlkreis Suot Tasna gleichzeitig in die Regierung gewählt. In der daraufhin nötigen Nachwahl eroberte die FDP den frei gewordenen Sitz. In der Tabelle ist der Stand am Wahltag der Gesamterneuerungswahlen (18.5.2014) mit dem BDP-Gewählten und nicht das Ergebnis der Nachwahl vom 6. Juli 2014 aufgeführt.</v>
      </c>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2"/>
      <c r="AG28" s="82"/>
      <c r="AH28" s="82"/>
      <c r="AI28" s="82"/>
      <c r="AJ28" s="82"/>
      <c r="AK28" s="82"/>
      <c r="AL28" s="82"/>
      <c r="AM28" s="82"/>
      <c r="AN28" s="82"/>
      <c r="AO28" s="82"/>
      <c r="AP28" s="82"/>
      <c r="AQ28" s="82"/>
      <c r="AR28" s="82"/>
      <c r="AS28" s="82"/>
      <c r="AT28" s="67"/>
      <c r="AU28" s="67"/>
      <c r="AV28" s="67"/>
      <c r="AW28" s="67"/>
      <c r="AX28" s="67"/>
      <c r="AY28" s="67"/>
      <c r="AZ28" s="67"/>
      <c r="BA28" s="67"/>
      <c r="BB28" s="67"/>
      <c r="BC28" s="67"/>
      <c r="BD28" s="67"/>
      <c r="BE28" s="67"/>
      <c r="BF28" s="67"/>
    </row>
    <row r="29" spans="1:58" s="1" customFormat="1" ht="12" customHeight="1" x14ac:dyDescent="0.2">
      <c r="A29" s="48"/>
      <c r="B29" s="83"/>
      <c r="C29" s="83"/>
      <c r="D29" s="83"/>
      <c r="E29" s="83"/>
      <c r="F29" s="83"/>
      <c r="G29" s="83"/>
      <c r="H29" s="83"/>
      <c r="I29" s="83"/>
      <c r="J29" s="83"/>
      <c r="K29" s="83"/>
      <c r="L29" s="83"/>
      <c r="M29" s="84"/>
      <c r="N29" s="84"/>
      <c r="O29" s="84"/>
      <c r="P29" s="84"/>
      <c r="Q29" s="84"/>
      <c r="R29" s="84"/>
      <c r="S29" s="84"/>
      <c r="T29" s="84"/>
      <c r="U29" s="84"/>
      <c r="V29" s="84"/>
      <c r="W29" s="83"/>
      <c r="X29" s="83"/>
      <c r="Y29" s="83"/>
      <c r="Z29" s="83"/>
      <c r="AA29" s="83"/>
      <c r="AB29" s="83"/>
      <c r="AC29" s="83"/>
      <c r="AD29" s="83"/>
      <c r="AE29" s="83"/>
      <c r="AF29" s="82"/>
      <c r="AG29" s="82"/>
      <c r="AH29" s="82"/>
      <c r="AI29" s="82"/>
      <c r="AJ29" s="82"/>
      <c r="AK29" s="82"/>
      <c r="AL29" s="82"/>
      <c r="AM29" s="82"/>
      <c r="AN29" s="82"/>
      <c r="AO29" s="82"/>
      <c r="AP29" s="82"/>
      <c r="AQ29" s="82"/>
      <c r="AR29" s="82"/>
      <c r="AS29" s="82"/>
      <c r="AT29" s="67"/>
      <c r="AU29" s="67"/>
      <c r="AV29" s="67"/>
      <c r="AW29" s="67"/>
      <c r="AX29" s="67"/>
      <c r="AY29" s="67"/>
      <c r="AZ29" s="67"/>
      <c r="BA29" s="67"/>
      <c r="BB29" s="67"/>
      <c r="BC29" s="67"/>
      <c r="BD29" s="67"/>
      <c r="BE29" s="67"/>
      <c r="BF29" s="67"/>
    </row>
    <row r="30" spans="1:58" s="1" customFormat="1" ht="14.25" x14ac:dyDescent="0.2">
      <c r="A30" s="51" t="str">
        <f>VLOOKUP("&lt;Quelle_1&gt;",Uebersetzungen!$B$3:$E$52,Uebersetzungen!$B$2+1,FALSE)</f>
        <v>Quelle: BFS (Statistik der Wahlen und Abstimmungen)</v>
      </c>
      <c r="B30" s="85"/>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row>
    <row r="31" spans="1:58" ht="12.75" x14ac:dyDescent="0.2">
      <c r="A31" s="51" t="str">
        <f>VLOOKUP("&lt;Aktualisierung&gt;",Uebersetzungen!$B$3:$E$52,Uebersetzungen!$B$2+1,FALSE)</f>
        <v>Letztmals aktualisiert am: 21.03.2024</v>
      </c>
      <c r="B31" s="86"/>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row>
  </sheetData>
  <sheetProtection sheet="1" objects="1" scenarios="1"/>
  <mergeCells count="21">
    <mergeCell ref="AO11:AQ11"/>
    <mergeCell ref="AL11:AN11"/>
    <mergeCell ref="AI11:AK11"/>
    <mergeCell ref="AF11:AH11"/>
    <mergeCell ref="A28:AE28"/>
    <mergeCell ref="AC11:AE11"/>
    <mergeCell ref="T11:V11"/>
    <mergeCell ref="W11:Y11"/>
    <mergeCell ref="Z11:AB11"/>
    <mergeCell ref="A7:D7"/>
    <mergeCell ref="Q11:S11"/>
    <mergeCell ref="B11:D11"/>
    <mergeCell ref="E11:G11"/>
    <mergeCell ref="H11:J11"/>
    <mergeCell ref="K11:M11"/>
    <mergeCell ref="N11:P11"/>
    <mergeCell ref="BD11:BF11"/>
    <mergeCell ref="BA11:BC11"/>
    <mergeCell ref="AX11:AZ11"/>
    <mergeCell ref="AU11:AW11"/>
    <mergeCell ref="AR11:AT11"/>
  </mergeCells>
  <pageMargins left="0.2" right="0.19" top="0.984251969" bottom="0.984251969" header="0.4921259845" footer="0.4921259845"/>
  <pageSetup paperSize="9" orientation="landscape" r:id="rId1"/>
  <headerFooter alignWithMargins="0"/>
  <colBreaks count="1" manualBreakCount="1">
    <brk id="2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15</xdr:col>
                    <xdr:colOff>47625</xdr:colOff>
                    <xdr:row>1</xdr:row>
                    <xdr:rowOff>114300</xdr:rowOff>
                  </from>
                  <to>
                    <xdr:col>18</xdr:col>
                    <xdr:colOff>161925</xdr:colOff>
                    <xdr:row>2</xdr:row>
                    <xdr:rowOff>142875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15</xdr:col>
                    <xdr:colOff>47625</xdr:colOff>
                    <xdr:row>2</xdr:row>
                    <xdr:rowOff>104775</xdr:rowOff>
                  </from>
                  <to>
                    <xdr:col>19</xdr:col>
                    <xdr:colOff>209550</xdr:colOff>
                    <xdr:row>3</xdr:row>
                    <xdr:rowOff>114300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15</xdr:col>
                    <xdr:colOff>47625</xdr:colOff>
                    <xdr:row>3</xdr:row>
                    <xdr:rowOff>66675</xdr:rowOff>
                  </from>
                  <to>
                    <xdr:col>18</xdr:col>
                    <xdr:colOff>161925</xdr:colOff>
                    <xdr:row>4</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heetViews>
  <sheetFormatPr baseColWidth="10" defaultColWidth="14.6640625" defaultRowHeight="12.75" x14ac:dyDescent="0.2"/>
  <cols>
    <col min="1" max="1" width="10" style="34" bestFit="1" customWidth="1"/>
    <col min="2" max="2" width="20.6640625" style="34" bestFit="1" customWidth="1"/>
    <col min="3" max="5" width="74.33203125" style="34" customWidth="1"/>
    <col min="6" max="16384" width="14.6640625" style="34"/>
  </cols>
  <sheetData>
    <row r="1" spans="1:6" x14ac:dyDescent="0.2">
      <c r="A1" s="38" t="s">
        <v>32</v>
      </c>
      <c r="B1" s="38" t="s">
        <v>33</v>
      </c>
      <c r="C1" s="38" t="s">
        <v>34</v>
      </c>
      <c r="D1" s="38" t="s">
        <v>35</v>
      </c>
      <c r="E1" s="38" t="s">
        <v>36</v>
      </c>
      <c r="F1" s="39"/>
    </row>
    <row r="2" spans="1:6" x14ac:dyDescent="0.2">
      <c r="A2" s="40" t="s">
        <v>37</v>
      </c>
      <c r="B2" s="41">
        <v>1</v>
      </c>
      <c r="C2" s="39"/>
      <c r="D2" s="39"/>
      <c r="E2" s="39"/>
      <c r="F2" s="39"/>
    </row>
    <row r="3" spans="1:6" x14ac:dyDescent="0.2">
      <c r="A3" s="40"/>
      <c r="B3" s="34" t="s">
        <v>38</v>
      </c>
      <c r="C3" s="34" t="s">
        <v>39</v>
      </c>
      <c r="D3" s="34" t="s">
        <v>40</v>
      </c>
      <c r="E3" s="34" t="s">
        <v>41</v>
      </c>
      <c r="F3" s="39"/>
    </row>
    <row r="4" spans="1:6" x14ac:dyDescent="0.2">
      <c r="A4" s="40" t="s">
        <v>42</v>
      </c>
      <c r="B4" s="42" t="s">
        <v>43</v>
      </c>
      <c r="C4" s="42" t="s">
        <v>28</v>
      </c>
      <c r="D4" s="42" t="s">
        <v>106</v>
      </c>
      <c r="E4" s="42" t="s">
        <v>109</v>
      </c>
      <c r="F4" s="39"/>
    </row>
    <row r="5" spans="1:6" x14ac:dyDescent="0.2">
      <c r="A5" s="40"/>
      <c r="B5" s="40"/>
      <c r="C5" s="40"/>
      <c r="D5" s="40"/>
      <c r="E5" s="40"/>
      <c r="F5" s="39"/>
    </row>
    <row r="6" spans="1:6" ht="14.25" customHeight="1" x14ac:dyDescent="0.2">
      <c r="A6" s="40" t="s">
        <v>42</v>
      </c>
      <c r="B6" s="34" t="s">
        <v>45</v>
      </c>
      <c r="C6" s="34" t="s">
        <v>0</v>
      </c>
      <c r="D6" s="34" t="s">
        <v>107</v>
      </c>
      <c r="E6" s="34" t="s">
        <v>108</v>
      </c>
      <c r="F6" s="39"/>
    </row>
    <row r="7" spans="1:6" x14ac:dyDescent="0.2">
      <c r="A7" s="40"/>
      <c r="B7" s="39"/>
      <c r="C7" s="39"/>
      <c r="D7" s="39"/>
      <c r="E7" s="39"/>
      <c r="F7" s="39"/>
    </row>
    <row r="8" spans="1:6" x14ac:dyDescent="0.2">
      <c r="A8" s="40" t="s">
        <v>42</v>
      </c>
      <c r="B8" s="34" t="s">
        <v>47</v>
      </c>
      <c r="C8" s="34" t="s">
        <v>3</v>
      </c>
      <c r="D8" s="34" t="s">
        <v>112</v>
      </c>
      <c r="E8" s="34" t="s">
        <v>113</v>
      </c>
      <c r="F8" s="39"/>
    </row>
    <row r="9" spans="1:6" x14ac:dyDescent="0.2">
      <c r="A9" s="39"/>
      <c r="B9" s="34" t="s">
        <v>48</v>
      </c>
      <c r="C9" s="34" t="s">
        <v>30</v>
      </c>
      <c r="D9" s="34" t="s">
        <v>114</v>
      </c>
      <c r="E9" s="34" t="s">
        <v>115</v>
      </c>
      <c r="F9" s="39"/>
    </row>
    <row r="10" spans="1:6" x14ac:dyDescent="0.2">
      <c r="A10" s="39"/>
      <c r="B10" s="34" t="s">
        <v>49</v>
      </c>
      <c r="C10" s="34" t="s">
        <v>4</v>
      </c>
      <c r="D10" s="34" t="s">
        <v>116</v>
      </c>
      <c r="E10" s="34" t="s">
        <v>117</v>
      </c>
      <c r="F10" s="39"/>
    </row>
    <row r="11" spans="1:6" x14ac:dyDescent="0.2">
      <c r="A11" s="39"/>
      <c r="B11" s="34" t="s">
        <v>50</v>
      </c>
      <c r="C11" s="34" t="s">
        <v>5</v>
      </c>
      <c r="D11" s="34" t="s">
        <v>118</v>
      </c>
      <c r="E11" s="34" t="s">
        <v>118</v>
      </c>
      <c r="F11" s="39"/>
    </row>
    <row r="12" spans="1:6" x14ac:dyDescent="0.2">
      <c r="A12" s="39"/>
      <c r="B12" s="34" t="s">
        <v>51</v>
      </c>
      <c r="C12" s="34" t="s">
        <v>6</v>
      </c>
      <c r="D12" s="34" t="s">
        <v>119</v>
      </c>
      <c r="E12" s="34" t="s">
        <v>120</v>
      </c>
      <c r="F12" s="39"/>
    </row>
    <row r="13" spans="1:6" x14ac:dyDescent="0.2">
      <c r="A13" s="39"/>
      <c r="B13" s="34" t="s">
        <v>52</v>
      </c>
      <c r="C13" s="34" t="s">
        <v>7</v>
      </c>
      <c r="D13" s="34" t="s">
        <v>121</v>
      </c>
      <c r="E13" s="34" t="s">
        <v>121</v>
      </c>
      <c r="F13" s="39"/>
    </row>
    <row r="14" spans="1:6" x14ac:dyDescent="0.2">
      <c r="A14" s="39"/>
      <c r="B14" s="34" t="s">
        <v>53</v>
      </c>
      <c r="C14" s="34" t="s">
        <v>9</v>
      </c>
      <c r="D14" s="34" t="s">
        <v>144</v>
      </c>
      <c r="E14" s="34" t="s">
        <v>127</v>
      </c>
      <c r="F14" s="39"/>
    </row>
    <row r="15" spans="1:6" x14ac:dyDescent="0.2">
      <c r="A15" s="39"/>
      <c r="B15" s="34" t="s">
        <v>54</v>
      </c>
      <c r="C15" s="34" t="s">
        <v>10</v>
      </c>
      <c r="D15" s="34" t="s">
        <v>128</v>
      </c>
      <c r="E15" s="34" t="s">
        <v>128</v>
      </c>
      <c r="F15" s="39"/>
    </row>
    <row r="16" spans="1:6" x14ac:dyDescent="0.2">
      <c r="A16" s="39"/>
      <c r="B16" s="34" t="s">
        <v>55</v>
      </c>
      <c r="C16" s="34" t="s">
        <v>11</v>
      </c>
      <c r="D16" s="34" t="s">
        <v>129</v>
      </c>
      <c r="E16" s="34" t="s">
        <v>129</v>
      </c>
      <c r="F16" s="39"/>
    </row>
    <row r="17" spans="1:6" x14ac:dyDescent="0.2">
      <c r="A17" s="39"/>
      <c r="B17" s="34" t="s">
        <v>56</v>
      </c>
      <c r="C17" s="34" t="s">
        <v>12</v>
      </c>
      <c r="D17" s="34" t="s">
        <v>130</v>
      </c>
      <c r="E17" s="34" t="s">
        <v>130</v>
      </c>
      <c r="F17" s="39"/>
    </row>
    <row r="18" spans="1:6" x14ac:dyDescent="0.2">
      <c r="A18" s="39"/>
      <c r="B18" s="34" t="s">
        <v>57</v>
      </c>
      <c r="C18" s="42" t="s">
        <v>13</v>
      </c>
      <c r="D18" s="42" t="s">
        <v>13</v>
      </c>
      <c r="E18" s="42" t="s">
        <v>13</v>
      </c>
      <c r="F18" s="39"/>
    </row>
    <row r="19" spans="1:6" x14ac:dyDescent="0.2">
      <c r="A19" s="39"/>
      <c r="B19" s="34" t="s">
        <v>58</v>
      </c>
      <c r="C19" s="42" t="s">
        <v>14</v>
      </c>
      <c r="D19" s="42" t="s">
        <v>131</v>
      </c>
      <c r="E19" s="42" t="s">
        <v>131</v>
      </c>
      <c r="F19" s="39"/>
    </row>
    <row r="20" spans="1:6" x14ac:dyDescent="0.2">
      <c r="A20" s="39"/>
      <c r="B20" s="34" t="s">
        <v>59</v>
      </c>
      <c r="C20" s="42" t="s">
        <v>15</v>
      </c>
      <c r="D20" s="42" t="s">
        <v>15</v>
      </c>
      <c r="E20" s="42" t="s">
        <v>15</v>
      </c>
      <c r="F20" s="39"/>
    </row>
    <row r="21" spans="1:6" x14ac:dyDescent="0.2">
      <c r="A21" s="39"/>
      <c r="B21" s="34" t="s">
        <v>60</v>
      </c>
      <c r="C21" s="34" t="s">
        <v>16</v>
      </c>
      <c r="D21" s="34" t="s">
        <v>132</v>
      </c>
      <c r="E21" s="34" t="s">
        <v>133</v>
      </c>
      <c r="F21" s="39"/>
    </row>
    <row r="22" spans="1:6" x14ac:dyDescent="0.2">
      <c r="A22" s="39"/>
      <c r="B22" s="34" t="s">
        <v>61</v>
      </c>
      <c r="C22" s="34" t="s">
        <v>8</v>
      </c>
      <c r="D22" s="34" t="s">
        <v>8</v>
      </c>
      <c r="E22" s="34" t="s">
        <v>46</v>
      </c>
      <c r="F22" s="39"/>
    </row>
    <row r="23" spans="1:6" x14ac:dyDescent="0.2">
      <c r="A23" s="39"/>
      <c r="B23" s="39"/>
      <c r="C23" s="39"/>
      <c r="D23" s="39"/>
      <c r="E23" s="39"/>
      <c r="F23" s="39"/>
    </row>
    <row r="24" spans="1:6" ht="98.25" customHeight="1" x14ac:dyDescent="0.2">
      <c r="A24" s="40" t="s">
        <v>44</v>
      </c>
      <c r="B24" s="34" t="s">
        <v>62</v>
      </c>
      <c r="C24" s="44" t="s">
        <v>78</v>
      </c>
      <c r="D24" s="44" t="s">
        <v>111</v>
      </c>
      <c r="E24" s="45" t="s">
        <v>110</v>
      </c>
      <c r="F24" s="39"/>
    </row>
    <row r="25" spans="1:6" x14ac:dyDescent="0.2">
      <c r="A25" s="39" t="s">
        <v>42</v>
      </c>
      <c r="B25" s="34" t="s">
        <v>63</v>
      </c>
      <c r="C25" s="34" t="s">
        <v>17</v>
      </c>
      <c r="D25" s="34" t="s">
        <v>142</v>
      </c>
      <c r="E25" s="46" t="s">
        <v>134</v>
      </c>
      <c r="F25" s="39"/>
    </row>
    <row r="26" spans="1:6" x14ac:dyDescent="0.2">
      <c r="A26" s="39"/>
      <c r="B26" s="34" t="s">
        <v>64</v>
      </c>
      <c r="C26" s="34" t="s">
        <v>19</v>
      </c>
      <c r="D26" s="34" t="s">
        <v>143</v>
      </c>
      <c r="E26" s="34" t="s">
        <v>135</v>
      </c>
      <c r="F26" s="39"/>
    </row>
    <row r="27" spans="1:6" ht="25.5" x14ac:dyDescent="0.2">
      <c r="A27" s="39"/>
      <c r="B27" s="34" t="s">
        <v>65</v>
      </c>
      <c r="C27" s="34" t="s">
        <v>20</v>
      </c>
      <c r="D27" s="34" t="s">
        <v>145</v>
      </c>
      <c r="E27" s="34" t="s">
        <v>136</v>
      </c>
      <c r="F27" s="39"/>
    </row>
    <row r="28" spans="1:6" ht="25.5" x14ac:dyDescent="0.2">
      <c r="A28" s="39"/>
      <c r="B28" s="34" t="s">
        <v>84</v>
      </c>
      <c r="C28" s="34" t="s">
        <v>21</v>
      </c>
      <c r="D28" s="34" t="s">
        <v>145</v>
      </c>
      <c r="E28" s="34" t="s">
        <v>136</v>
      </c>
      <c r="F28" s="39"/>
    </row>
    <row r="29" spans="1:6" ht="25.5" x14ac:dyDescent="0.2">
      <c r="A29" s="39"/>
      <c r="B29" s="34" t="s">
        <v>85</v>
      </c>
      <c r="C29" s="34" t="s">
        <v>22</v>
      </c>
      <c r="D29" s="34" t="s">
        <v>146</v>
      </c>
      <c r="E29" s="34" t="s">
        <v>137</v>
      </c>
      <c r="F29" s="39"/>
    </row>
    <row r="30" spans="1:6" x14ac:dyDescent="0.2">
      <c r="A30" s="39"/>
      <c r="B30" s="34" t="s">
        <v>86</v>
      </c>
      <c r="C30" s="34" t="s">
        <v>23</v>
      </c>
      <c r="D30" s="34" t="s">
        <v>147</v>
      </c>
      <c r="E30" s="34" t="s">
        <v>138</v>
      </c>
      <c r="F30" s="39"/>
    </row>
    <row r="31" spans="1:6" x14ac:dyDescent="0.2">
      <c r="A31" s="39"/>
      <c r="B31" s="34" t="s">
        <v>87</v>
      </c>
      <c r="C31" s="34" t="s">
        <v>23</v>
      </c>
      <c r="D31" s="34" t="s">
        <v>147</v>
      </c>
      <c r="E31" s="34" t="s">
        <v>138</v>
      </c>
      <c r="F31" s="39"/>
    </row>
    <row r="32" spans="1:6" x14ac:dyDescent="0.2">
      <c r="A32" s="39"/>
      <c r="B32" s="34" t="s">
        <v>88</v>
      </c>
      <c r="C32" s="34" t="s">
        <v>19</v>
      </c>
      <c r="D32" s="34" t="s">
        <v>143</v>
      </c>
      <c r="E32" s="34" t="s">
        <v>135</v>
      </c>
      <c r="F32" s="39"/>
    </row>
    <row r="33" spans="1:6" x14ac:dyDescent="0.2">
      <c r="A33" s="39"/>
      <c r="B33" s="34" t="s">
        <v>89</v>
      </c>
      <c r="C33" s="34" t="s">
        <v>19</v>
      </c>
      <c r="D33" s="34" t="s">
        <v>143</v>
      </c>
      <c r="E33" s="34" t="s">
        <v>135</v>
      </c>
      <c r="F33" s="39"/>
    </row>
    <row r="34" spans="1:6" x14ac:dyDescent="0.2">
      <c r="A34" s="39"/>
      <c r="B34" s="34" t="s">
        <v>90</v>
      </c>
      <c r="C34" s="34" t="s">
        <v>19</v>
      </c>
      <c r="D34" s="34" t="s">
        <v>143</v>
      </c>
      <c r="E34" s="34" t="s">
        <v>135</v>
      </c>
      <c r="F34" s="39"/>
    </row>
    <row r="35" spans="1:6" x14ac:dyDescent="0.2">
      <c r="A35" s="39"/>
      <c r="B35" s="34" t="s">
        <v>91</v>
      </c>
      <c r="C35" s="34" t="s">
        <v>141</v>
      </c>
      <c r="D35" s="34" t="s">
        <v>148</v>
      </c>
      <c r="E35" s="34" t="s">
        <v>140</v>
      </c>
      <c r="F35" s="39"/>
    </row>
    <row r="36" spans="1:6" x14ac:dyDescent="0.2">
      <c r="A36" s="39"/>
      <c r="B36" s="34" t="s">
        <v>92</v>
      </c>
      <c r="C36" s="34" t="s">
        <v>24</v>
      </c>
      <c r="D36" s="34" t="s">
        <v>149</v>
      </c>
      <c r="E36" s="34" t="s">
        <v>139</v>
      </c>
      <c r="F36" s="39"/>
    </row>
    <row r="37" spans="1:6" x14ac:dyDescent="0.2">
      <c r="A37" s="39"/>
      <c r="B37" s="34" t="s">
        <v>93</v>
      </c>
      <c r="C37" s="34" t="s">
        <v>19</v>
      </c>
      <c r="D37" s="34" t="s">
        <v>143</v>
      </c>
      <c r="E37" s="34" t="s">
        <v>135</v>
      </c>
      <c r="F37" s="39"/>
    </row>
    <row r="38" spans="1:6" x14ac:dyDescent="0.2">
      <c r="A38" s="39"/>
      <c r="B38" s="34" t="s">
        <v>94</v>
      </c>
      <c r="C38" s="34" t="s">
        <v>19</v>
      </c>
      <c r="D38" s="34" t="s">
        <v>143</v>
      </c>
      <c r="E38" s="34" t="s">
        <v>135</v>
      </c>
      <c r="F38" s="39"/>
    </row>
    <row r="39" spans="1:6" x14ac:dyDescent="0.2">
      <c r="A39" s="39"/>
      <c r="B39" s="34" t="s">
        <v>95</v>
      </c>
      <c r="C39" s="34" t="s">
        <v>19</v>
      </c>
      <c r="D39" s="34" t="s">
        <v>143</v>
      </c>
      <c r="E39" s="34" t="s">
        <v>135</v>
      </c>
      <c r="F39" s="39"/>
    </row>
    <row r="40" spans="1:6" x14ac:dyDescent="0.2">
      <c r="A40" s="39"/>
      <c r="B40" s="39"/>
      <c r="C40" s="39"/>
      <c r="D40" s="39"/>
      <c r="E40" s="39"/>
      <c r="F40" s="39"/>
    </row>
    <row r="41" spans="1:6" x14ac:dyDescent="0.2">
      <c r="A41" s="39" t="s">
        <v>44</v>
      </c>
      <c r="B41" s="34" t="s">
        <v>66</v>
      </c>
      <c r="C41" s="34" t="s">
        <v>26</v>
      </c>
      <c r="D41" s="34" t="s">
        <v>79</v>
      </c>
      <c r="E41" s="34" t="s">
        <v>80</v>
      </c>
      <c r="F41" s="39"/>
    </row>
    <row r="42" spans="1:6" x14ac:dyDescent="0.2">
      <c r="A42" s="39" t="s">
        <v>44</v>
      </c>
      <c r="B42" s="43" t="s">
        <v>67</v>
      </c>
      <c r="C42" s="47" t="s">
        <v>81</v>
      </c>
      <c r="D42" s="47" t="s">
        <v>82</v>
      </c>
      <c r="E42" s="47" t="s">
        <v>83</v>
      </c>
      <c r="F42" s="39"/>
    </row>
    <row r="43" spans="1:6" x14ac:dyDescent="0.2">
      <c r="A43" s="39"/>
      <c r="B43" s="39"/>
      <c r="C43" s="39"/>
      <c r="D43" s="39"/>
      <c r="E43" s="39"/>
      <c r="F43" s="39"/>
    </row>
    <row r="44" spans="1:6" x14ac:dyDescent="0.2">
      <c r="A44" s="40"/>
      <c r="B44" s="41"/>
      <c r="C44" s="39"/>
      <c r="D44" s="39"/>
      <c r="E44" s="39"/>
      <c r="F44" s="39"/>
    </row>
    <row r="45" spans="1:6" ht="25.5" x14ac:dyDescent="0.2">
      <c r="A45" s="40" t="s">
        <v>68</v>
      </c>
      <c r="B45" s="34" t="s">
        <v>69</v>
      </c>
      <c r="C45" s="34" t="s">
        <v>29</v>
      </c>
      <c r="D45" s="34" t="s">
        <v>125</v>
      </c>
      <c r="E45" s="34" t="s">
        <v>126</v>
      </c>
      <c r="F45" s="39"/>
    </row>
    <row r="46" spans="1:6" x14ac:dyDescent="0.2">
      <c r="A46" s="40"/>
      <c r="B46" s="39"/>
      <c r="C46" s="39"/>
      <c r="D46" s="39"/>
      <c r="E46" s="39"/>
      <c r="F46" s="39"/>
    </row>
    <row r="47" spans="1:6" x14ac:dyDescent="0.2">
      <c r="A47" s="40" t="s">
        <v>68</v>
      </c>
      <c r="B47" s="34" t="s">
        <v>96</v>
      </c>
      <c r="C47" s="34" t="s">
        <v>0</v>
      </c>
      <c r="D47" s="34" t="s">
        <v>107</v>
      </c>
      <c r="E47" s="34" t="s">
        <v>108</v>
      </c>
      <c r="F47" s="39"/>
    </row>
    <row r="48" spans="1:6" x14ac:dyDescent="0.2">
      <c r="A48" s="39"/>
      <c r="B48" s="34" t="s">
        <v>97</v>
      </c>
      <c r="C48" s="34" t="s">
        <v>1</v>
      </c>
      <c r="D48" s="34" t="s">
        <v>122</v>
      </c>
      <c r="E48" s="34" t="s">
        <v>122</v>
      </c>
      <c r="F48" s="39"/>
    </row>
    <row r="49" spans="1:6" x14ac:dyDescent="0.2">
      <c r="A49" s="39"/>
      <c r="B49" s="34" t="s">
        <v>98</v>
      </c>
      <c r="C49" s="34" t="s">
        <v>2</v>
      </c>
      <c r="D49" s="34" t="s">
        <v>123</v>
      </c>
      <c r="E49" s="34" t="s">
        <v>123</v>
      </c>
      <c r="F49" s="39"/>
    </row>
    <row r="50" spans="1:6" x14ac:dyDescent="0.2">
      <c r="A50" s="39"/>
      <c r="B50" s="34" t="s">
        <v>99</v>
      </c>
      <c r="C50" s="34" t="s">
        <v>25</v>
      </c>
      <c r="D50" s="34" t="s">
        <v>124</v>
      </c>
      <c r="E50" s="34" t="s">
        <v>124</v>
      </c>
      <c r="F50" s="39"/>
    </row>
    <row r="51" spans="1:6" x14ac:dyDescent="0.2">
      <c r="A51" s="39"/>
      <c r="B51" s="39"/>
      <c r="C51" s="39"/>
      <c r="D51" s="39"/>
      <c r="E51" s="39"/>
      <c r="F51" s="39"/>
    </row>
    <row r="52" spans="1:6" x14ac:dyDescent="0.2">
      <c r="A52" s="39"/>
      <c r="B52" s="34" t="s">
        <v>70</v>
      </c>
      <c r="C52" s="34" t="s">
        <v>3</v>
      </c>
      <c r="D52" s="34" t="s">
        <v>112</v>
      </c>
      <c r="E52" s="34" t="s">
        <v>113</v>
      </c>
      <c r="F52" s="39"/>
    </row>
    <row r="53" spans="1:6" x14ac:dyDescent="0.2">
      <c r="A53" s="39"/>
      <c r="B53" s="34" t="s">
        <v>71</v>
      </c>
      <c r="C53" s="34" t="s">
        <v>30</v>
      </c>
      <c r="D53" s="34" t="s">
        <v>114</v>
      </c>
      <c r="E53" s="34" t="s">
        <v>115</v>
      </c>
      <c r="F53" s="39"/>
    </row>
    <row r="54" spans="1:6" x14ac:dyDescent="0.2">
      <c r="A54" s="39"/>
      <c r="B54" s="34" t="s">
        <v>72</v>
      </c>
      <c r="C54" s="34" t="s">
        <v>4</v>
      </c>
      <c r="D54" s="34" t="s">
        <v>116</v>
      </c>
      <c r="E54" s="34" t="s">
        <v>117</v>
      </c>
      <c r="F54" s="39"/>
    </row>
    <row r="55" spans="1:6" x14ac:dyDescent="0.2">
      <c r="A55" s="39"/>
      <c r="B55" s="34" t="s">
        <v>73</v>
      </c>
      <c r="C55" s="34" t="s">
        <v>5</v>
      </c>
      <c r="D55" s="34" t="s">
        <v>118</v>
      </c>
      <c r="E55" s="34" t="s">
        <v>118</v>
      </c>
      <c r="F55" s="39"/>
    </row>
    <row r="56" spans="1:6" x14ac:dyDescent="0.2">
      <c r="A56" s="39"/>
      <c r="B56" s="34" t="s">
        <v>74</v>
      </c>
      <c r="C56" s="34" t="s">
        <v>6</v>
      </c>
      <c r="D56" s="34" t="s">
        <v>119</v>
      </c>
      <c r="E56" s="34" t="s">
        <v>120</v>
      </c>
      <c r="F56" s="39"/>
    </row>
    <row r="57" spans="1:6" x14ac:dyDescent="0.2">
      <c r="A57" s="39"/>
      <c r="B57" s="34" t="s">
        <v>75</v>
      </c>
      <c r="C57" s="34" t="s">
        <v>7</v>
      </c>
      <c r="D57" s="34" t="s">
        <v>121</v>
      </c>
      <c r="E57" s="34" t="s">
        <v>121</v>
      </c>
      <c r="F57" s="39"/>
    </row>
    <row r="58" spans="1:6" x14ac:dyDescent="0.2">
      <c r="A58" s="39"/>
      <c r="B58" s="34" t="s">
        <v>76</v>
      </c>
      <c r="C58" s="34" t="s">
        <v>9</v>
      </c>
      <c r="D58" s="34" t="s">
        <v>144</v>
      </c>
      <c r="E58" s="34" t="s">
        <v>127</v>
      </c>
      <c r="F58" s="39"/>
    </row>
    <row r="59" spans="1:6" x14ac:dyDescent="0.2">
      <c r="A59" s="39"/>
      <c r="B59" s="34" t="s">
        <v>77</v>
      </c>
      <c r="C59" s="34" t="s">
        <v>10</v>
      </c>
      <c r="D59" s="34" t="s">
        <v>128</v>
      </c>
      <c r="E59" s="34" t="s">
        <v>128</v>
      </c>
      <c r="F59" s="39"/>
    </row>
    <row r="60" spans="1:6" x14ac:dyDescent="0.2">
      <c r="A60" s="39"/>
      <c r="B60" s="34" t="s">
        <v>100</v>
      </c>
      <c r="C60" s="34" t="s">
        <v>11</v>
      </c>
      <c r="D60" s="34" t="s">
        <v>129</v>
      </c>
      <c r="E60" s="34" t="s">
        <v>129</v>
      </c>
      <c r="F60" s="39"/>
    </row>
    <row r="61" spans="1:6" x14ac:dyDescent="0.2">
      <c r="A61" s="39"/>
      <c r="B61" s="34" t="s">
        <v>101</v>
      </c>
      <c r="C61" s="34" t="s">
        <v>31</v>
      </c>
      <c r="D61" s="34" t="s">
        <v>150</v>
      </c>
      <c r="E61" s="34" t="s">
        <v>151</v>
      </c>
      <c r="F61" s="39"/>
    </row>
    <row r="62" spans="1:6" x14ac:dyDescent="0.2">
      <c r="A62" s="39"/>
      <c r="B62" s="34" t="s">
        <v>102</v>
      </c>
      <c r="C62" s="42" t="s">
        <v>12</v>
      </c>
      <c r="D62" s="42" t="s">
        <v>130</v>
      </c>
      <c r="E62" s="42" t="s">
        <v>130</v>
      </c>
      <c r="F62" s="39"/>
    </row>
    <row r="63" spans="1:6" x14ac:dyDescent="0.2">
      <c r="A63" s="39"/>
      <c r="B63" s="34" t="s">
        <v>103</v>
      </c>
      <c r="C63" s="42" t="s">
        <v>13</v>
      </c>
      <c r="D63" s="42" t="s">
        <v>13</v>
      </c>
      <c r="E63" s="42" t="s">
        <v>13</v>
      </c>
      <c r="F63" s="39"/>
    </row>
    <row r="64" spans="1:6" x14ac:dyDescent="0.2">
      <c r="A64" s="39"/>
      <c r="B64" s="34" t="s">
        <v>104</v>
      </c>
      <c r="C64" s="34" t="s">
        <v>16</v>
      </c>
      <c r="D64" s="34" t="s">
        <v>132</v>
      </c>
      <c r="E64" s="34" t="s">
        <v>133</v>
      </c>
      <c r="F64" s="39"/>
    </row>
    <row r="65" spans="1:6" x14ac:dyDescent="0.2">
      <c r="A65" s="39"/>
      <c r="B65" s="34" t="s">
        <v>105</v>
      </c>
      <c r="C65" s="34" t="s">
        <v>8</v>
      </c>
      <c r="D65" s="34" t="s">
        <v>8</v>
      </c>
      <c r="E65" s="34" t="s">
        <v>46</v>
      </c>
      <c r="F65" s="39"/>
    </row>
    <row r="66" spans="1:6" x14ac:dyDescent="0.2">
      <c r="A66" s="39"/>
      <c r="B66" s="39"/>
      <c r="C66" s="39"/>
      <c r="D66" s="39"/>
      <c r="E66" s="39"/>
      <c r="F66" s="39"/>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FB2B42AF1050B42830E7D601649B832" ma:contentTypeVersion="6" ma:contentTypeDescription="Ein neues Dokument erstellen." ma:contentTypeScope="" ma:versionID="f4a8b9de0b99fa9e5c2797afc72cd3ec">
  <xsd:schema xmlns:xsd="http://www.w3.org/2001/XMLSchema" xmlns:xs="http://www.w3.org/2001/XMLSchema" xmlns:p="http://schemas.microsoft.com/office/2006/metadata/properties" xmlns:ns1="http://schemas.microsoft.com/sharepoint/v3" xmlns:ns2="2dda44d0-589c-43b4-b831-f67d9c18c93f" targetNamespace="http://schemas.microsoft.com/office/2006/metadata/properties" ma:root="true" ma:fieldsID="fbe637945e0b783f62913eb0768e863e" ns1:_="" ns2:_="">
    <xsd:import namespace="http://schemas.microsoft.com/sharepoint/v3"/>
    <xsd:import namespace="2dda44d0-589c-43b4-b831-f67d9c18c93f"/>
    <xsd:element name="properties">
      <xsd:complexType>
        <xsd:sequence>
          <xsd:element name="documentManagement">
            <xsd:complexType>
              <xsd:all>
                <xsd:element ref="ns1:PublishingStartDate" minOccurs="0"/>
                <xsd:element ref="ns1:PublishingExpirationDate" minOccurs="0"/>
                <xsd:element ref="ns2:Titel_DE" minOccurs="0"/>
                <xsd:element ref="ns2:Titel_RM" minOccurs="0"/>
                <xsd:element ref="ns2:Titel_IT" minOccurs="0"/>
                <xsd:element ref="ns2:Kategorie" minOccurs="0"/>
                <xsd:element ref="ns2:Benutzerdefinierte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dda44d0-589c-43b4-b831-f67d9c18c93f" elementFormDefault="qualified">
    <xsd:import namespace="http://schemas.microsoft.com/office/2006/documentManagement/types"/>
    <xsd:import namespace="http://schemas.microsoft.com/office/infopath/2007/PartnerControls"/>
    <xsd:element name="Titel_DE" ma:index="10" nillable="true" ma:displayName="Titel_DE" ma:internalName="Titel_DE">
      <xsd:simpleType>
        <xsd:restriction base="dms:Text">
          <xsd:maxLength value="255"/>
        </xsd:restriction>
      </xsd:simpleType>
    </xsd:element>
    <xsd:element name="Titel_RM" ma:index="11" nillable="true" ma:displayName="Titel_RM" ma:internalName="Titel_RM">
      <xsd:simpleType>
        <xsd:restriction base="dms:Text">
          <xsd:maxLength value="255"/>
        </xsd:restriction>
      </xsd:simpleType>
    </xsd:element>
    <xsd:element name="Titel_IT" ma:index="12" nillable="true" ma:displayName="Titel_IT" ma:internalName="Titel_IT">
      <xsd:simpleType>
        <xsd:restriction base="dms:Text">
          <xsd:maxLength value="255"/>
        </xsd:restriction>
      </xsd:simpleType>
    </xsd:element>
    <xsd:element name="Kategorie" ma:index="13" nillable="true" ma:displayName="Kategorie" ma:internalName="Kategorie">
      <xsd:simpleType>
        <xsd:restriction base="dms:Text">
          <xsd:maxLength value="255"/>
        </xsd:restriction>
      </xsd:simpleType>
    </xsd:element>
    <xsd:element name="Benutzerdefinierte_x0020_ID" ma:index="14" nillable="true" ma:displayName="Benutzerdefinierte ID" ma:internalName="Benutzerdefinierte_x0020_ID"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ategorie xmlns="2dda44d0-589c-43b4-b831-f67d9c18c93f">17 Politik</Kategorie>
    <Benutzerdefinierte_x0020_ID xmlns="2dda44d0-589c-43b4-b831-f67d9c18c93f">1004</Benutzerdefinierte_x0020_ID>
    <Titel_DE xmlns="2dda44d0-589c-43b4-b831-f67d9c18c93f">Kantonale Wahlen Grosser Rat - Hauptergebnisse seit 1919</Titel_DE>
    <Titel_RM xmlns="2dda44d0-589c-43b4-b831-f67d9c18c93f">Elecziuns chantunalas dal Cussegl grond – resultats principals dapi l'onn 1919</Titel_RM>
    <Titel_IT xmlns="2dda44d0-589c-43b4-b831-f67d9c18c93f">Elezioni del Gran Consiglio cantonale - risultati principali dal 1919</Titel_I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478A339-FD08-4BC5-B0DB-E175CA4A6E80}"/>
</file>

<file path=customXml/itemProps2.xml><?xml version="1.0" encoding="utf-8"?>
<ds:datastoreItem xmlns:ds="http://schemas.openxmlformats.org/officeDocument/2006/customXml" ds:itemID="{02FDC8C8-A0D0-4FA9-B2D3-A1EF8602D91A}"/>
</file>

<file path=customXml/itemProps3.xml><?xml version="1.0" encoding="utf-8"?>
<ds:datastoreItem xmlns:ds="http://schemas.openxmlformats.org/officeDocument/2006/customXml" ds:itemID="{5BC4D563-BF40-4B8B-8C14-93157E5D4DD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Mandate seit 1919</vt:lpstr>
      <vt:lpstr>Mandate nach Geschlecht</vt:lpstr>
      <vt:lpstr>Uebersetzungen</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Kantonale Wahlen Grosser Rat</dc:title>
  <dc:creator>Stefano.Gianotti@awt.gr.ch</dc:creator>
  <cp:lastModifiedBy>Gianotti Stefano</cp:lastModifiedBy>
  <dcterms:created xsi:type="dcterms:W3CDTF">2015-09-15T07:12:35Z</dcterms:created>
  <dcterms:modified xsi:type="dcterms:W3CDTF">2024-03-22T09:32:56Z</dcterms:modified>
  <cp:category>Statistik der Wahlen und Abstimmungen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0x0101007FB2B42AF1050B42830E7D601649B832</vt:lpwstr>
  </property>
</Properties>
</file>